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MANAGEMENT\Website\1 MFPRSI website\Documents on website\"/>
    </mc:Choice>
  </mc:AlternateContent>
  <bookViews>
    <workbookView xWindow="0" yWindow="0" windowWidth="21300" windowHeight="10125"/>
  </bookViews>
  <sheets>
    <sheet name="calculator" sheetId="1" r:id="rId1"/>
    <sheet name="Amort" sheetId="6" r:id="rId2"/>
    <sheet name="MFPRSI Supplemental Info 2015" sheetId="4" r:id="rId3"/>
    <sheet name="MFPRSI Supplemental Info 2014" sheetId="5" r:id="rId4"/>
  </sheets>
  <definedNames>
    <definedName name="_xlnm.Print_Area" localSheetId="3">'MFPRSI Supplemental Info 2014'!$A$1:$Y$59</definedName>
    <definedName name="_xlnm.Print_Area" localSheetId="2">'MFPRSI Supplemental Info 2015'!$A$1:$Y$59</definedName>
    <definedName name="_xlnm.Print_Titles" localSheetId="3">'MFPRSI Supplemental Info 2014'!$A:$B,'MFPRSI Supplemental Info 2014'!$1:$6</definedName>
    <definedName name="_xlnm.Print_Titles" localSheetId="2">'MFPRSI Supplemental Info 2015'!$A:$B,'MFPRSI Supplemental Info 2015'!$1:$6</definedName>
  </definedNames>
  <calcPr calcId="171027"/>
</workbook>
</file>

<file path=xl/calcChain.xml><?xml version="1.0" encoding="utf-8"?>
<calcChain xmlns="http://schemas.openxmlformats.org/spreadsheetml/2006/main">
  <c r="K14" i="1" l="1"/>
  <c r="K69" i="1" s="1"/>
  <c r="G22" i="6" l="1"/>
  <c r="G13" i="6"/>
  <c r="G21" i="6"/>
  <c r="G12" i="6"/>
  <c r="G41" i="6" l="1"/>
  <c r="K12" i="6" l="1"/>
  <c r="K21" i="6"/>
  <c r="J12" i="6" l="1"/>
  <c r="L12" i="6"/>
  <c r="M12" i="6"/>
  <c r="I12" i="6"/>
  <c r="I17" i="6" s="1"/>
  <c r="L21" i="6"/>
  <c r="I21" i="6"/>
  <c r="M21" i="6"/>
  <c r="J21" i="6"/>
  <c r="K143" i="1" l="1"/>
  <c r="I143" i="1"/>
  <c r="N12" i="6"/>
  <c r="I28" i="6"/>
  <c r="N21" i="6"/>
  <c r="M45" i="1" l="1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1" i="1" l="1"/>
  <c r="M46" i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K49" i="5" s="1"/>
  <c r="L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M43" i="1"/>
  <c r="O12" i="1" l="1"/>
  <c r="M12" i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K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I47" i="4"/>
  <c r="I31" i="4"/>
  <c r="I15" i="4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M49" i="1"/>
  <c r="K16" i="1" l="1"/>
  <c r="F57" i="4"/>
  <c r="I98" i="1"/>
  <c r="M54" i="1"/>
  <c r="M47" i="1"/>
  <c r="M42" i="1"/>
  <c r="M41" i="1"/>
  <c r="M31" i="1"/>
  <c r="G16" i="1"/>
  <c r="K49" i="1"/>
  <c r="G14" i="1"/>
  <c r="D8" i="1"/>
  <c r="K12" i="1"/>
  <c r="Y57" i="4"/>
  <c r="E51" i="1" s="1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M14" i="1" l="1"/>
  <c r="K38" i="1"/>
  <c r="K41" i="1" s="1"/>
  <c r="D42" i="6"/>
  <c r="H39" i="6" s="1"/>
  <c r="K18" i="1"/>
  <c r="I14" i="1"/>
  <c r="I16" i="1"/>
  <c r="M16" i="1"/>
  <c r="O16" i="1"/>
  <c r="G25" i="4"/>
  <c r="M13" i="4"/>
  <c r="M45" i="4"/>
  <c r="K45" i="4"/>
  <c r="L45" i="4" s="1"/>
  <c r="G7" i="4"/>
  <c r="H57" i="4"/>
  <c r="M26" i="1" s="1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M18" i="1" l="1"/>
  <c r="K47" i="1"/>
  <c r="K42" i="1"/>
  <c r="H37" i="6"/>
  <c r="H36" i="6"/>
  <c r="H40" i="6"/>
  <c r="J40" i="6" s="1"/>
  <c r="H38" i="6"/>
  <c r="H35" i="6"/>
  <c r="R49" i="1"/>
  <c r="K123" i="1" s="1"/>
  <c r="P49" i="1"/>
  <c r="M7" i="4"/>
  <c r="K7" i="4"/>
  <c r="L7" i="4" s="1"/>
  <c r="K43" i="1"/>
  <c r="K46" i="1"/>
  <c r="K45" i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M16" i="4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1" i="1"/>
  <c r="I114" i="1"/>
  <c r="I69" i="1"/>
  <c r="K62" i="1"/>
  <c r="K67" i="1" s="1"/>
  <c r="K51" i="1"/>
  <c r="M51" i="1" s="1"/>
  <c r="M38" i="1"/>
  <c r="K80" i="1" s="1"/>
  <c r="K82" i="1" s="1"/>
  <c r="P82" i="1" s="1"/>
  <c r="K92" i="1" s="1"/>
  <c r="M29" i="1"/>
  <c r="M33" i="1" s="1"/>
  <c r="O14" i="1"/>
  <c r="O18" i="1" s="1"/>
  <c r="M20" i="1" l="1"/>
  <c r="M44" i="4"/>
  <c r="H41" i="6"/>
  <c r="M48" i="4"/>
  <c r="M46" i="4"/>
  <c r="M32" i="4"/>
  <c r="M54" i="4"/>
  <c r="M18" i="4"/>
  <c r="P45" i="1"/>
  <c r="I118" i="1" s="1"/>
  <c r="R45" i="1"/>
  <c r="K118" i="1" s="1"/>
  <c r="R43" i="1"/>
  <c r="K111" i="1" s="1"/>
  <c r="P43" i="1"/>
  <c r="I111" i="1" s="1"/>
  <c r="P46" i="1"/>
  <c r="R46" i="1"/>
  <c r="K65" i="1"/>
  <c r="R42" i="1"/>
  <c r="K110" i="1" s="1"/>
  <c r="P42" i="1"/>
  <c r="I110" i="1" s="1"/>
  <c r="R41" i="1"/>
  <c r="K109" i="1" s="1"/>
  <c r="P41" i="1"/>
  <c r="I109" i="1" s="1"/>
  <c r="R47" i="1"/>
  <c r="K119" i="1" s="1"/>
  <c r="P47" i="1"/>
  <c r="I119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M92" i="1"/>
  <c r="I92" i="1" s="1"/>
  <c r="M62" i="1"/>
  <c r="M67" i="1" s="1"/>
  <c r="P67" i="1" l="1"/>
  <c r="R67" i="1"/>
  <c r="M57" i="4"/>
  <c r="M65" i="1"/>
  <c r="M69" i="1"/>
  <c r="R69" i="1" s="1"/>
  <c r="R65" i="1" l="1"/>
  <c r="P65" i="1"/>
  <c r="P69" i="1"/>
  <c r="P71" i="1" l="1"/>
  <c r="R71" i="1"/>
  <c r="P73" i="1" l="1"/>
  <c r="R73" i="1"/>
  <c r="R76" i="1" s="1"/>
  <c r="K90" i="1" l="1"/>
  <c r="M90" i="1"/>
  <c r="P76" i="1"/>
  <c r="I90" i="1" l="1"/>
  <c r="I94" i="1" s="1"/>
  <c r="K94" i="1"/>
  <c r="M94" i="1"/>
  <c r="I115" i="1" s="1"/>
  <c r="H22" i="6" l="1"/>
  <c r="N22" i="6" s="1"/>
  <c r="N28" i="6" s="1"/>
  <c r="H13" i="6"/>
  <c r="K13" i="6" s="1"/>
  <c r="K17" i="6" s="1"/>
  <c r="I112" i="1"/>
  <c r="I124" i="1" s="1"/>
  <c r="K112" i="1"/>
  <c r="K115" i="1"/>
  <c r="J22" i="6" l="1"/>
  <c r="J28" i="6" s="1"/>
  <c r="K22" i="6"/>
  <c r="K28" i="6" s="1"/>
  <c r="I35" i="6" s="1"/>
  <c r="M13" i="6"/>
  <c r="M17" i="6" s="1"/>
  <c r="L22" i="6"/>
  <c r="L28" i="6" s="1"/>
  <c r="M22" i="6"/>
  <c r="M28" i="6" s="1"/>
  <c r="N13" i="6"/>
  <c r="N17" i="6" s="1"/>
  <c r="I38" i="6" s="1"/>
  <c r="J38" i="6" s="1"/>
  <c r="L13" i="6"/>
  <c r="L17" i="6" s="1"/>
  <c r="J13" i="6"/>
  <c r="J17" i="6" s="1"/>
  <c r="K124" i="1"/>
  <c r="K126" i="1" s="1"/>
  <c r="I37" i="6" l="1"/>
  <c r="J37" i="6" s="1"/>
  <c r="O22" i="6"/>
  <c r="O28" i="6" s="1"/>
  <c r="I36" i="6"/>
  <c r="J36" i="6" s="1"/>
  <c r="O13" i="6"/>
  <c r="O17" i="6" s="1"/>
  <c r="J35" i="6"/>
  <c r="K145" i="1"/>
  <c r="I145" i="1"/>
  <c r="I39" i="6" l="1"/>
  <c r="I41" i="6" s="1"/>
  <c r="J39" i="6" l="1"/>
  <c r="J41" i="6" s="1"/>
</calcChain>
</file>

<file path=xl/sharedStrings.xml><?xml version="1.0" encoding="utf-8"?>
<sst xmlns="http://schemas.openxmlformats.org/spreadsheetml/2006/main" count="378" uniqueCount="214">
  <si>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</si>
  <si>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</si>
  <si>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</si>
  <si>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</si>
  <si>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</si>
  <si>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</si>
  <si>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</si>
  <si>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</si>
  <si>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</si>
  <si>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</si>
  <si>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</si>
  <si>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</si>
  <si>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</si>
  <si>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</si>
  <si>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</si>
  <si>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</si>
  <si>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</si>
  <si>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</si>
  <si>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</si>
  <si>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</si>
  <si>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</si>
  <si>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</si>
  <si>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</si>
  <si>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</si>
  <si>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</si>
  <si>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</si>
  <si>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</si>
  <si>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</si>
  <si>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</si>
  <si>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</si>
  <si>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</si>
  <si>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</si>
  <si>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</si>
  <si>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</si>
  <si>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</si>
  <si>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</si>
  <si>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</si>
  <si>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</si>
  <si>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</si>
  <si>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</si>
  <si>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</si>
  <si>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</si>
  <si>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</si>
  <si>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</si>
  <si>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</si>
  <si>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</si>
  <si>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</si>
  <si>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</si>
  <si>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</si>
  <si>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</si>
  <si>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</si>
  <si>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</si>
  <si>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</si>
  <si>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</si>
  <si>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</si>
  <si>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</si>
  <si>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</si>
  <si>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</si>
  <si>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</si>
  <si>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</si>
  <si>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</si>
  <si>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</si>
  <si>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</si>
  <si>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</si>
  <si>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</si>
  <si>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</si>
  <si>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</si>
  <si>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</si>
  <si>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</si>
  <si>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</si>
  <si>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</si>
  <si>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</si>
  <si>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General</t>
  </si>
  <si>
    <t>Water</t>
  </si>
  <si>
    <t>Sewer</t>
  </si>
  <si>
    <t>Garbage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</si>
  <si>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</si>
  <si>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</si>
  <si>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</si>
  <si>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</si>
  <si>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</si>
  <si>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</si>
  <si>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Deferred Outflows/Inflows of Resources from proportion change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</si>
  <si>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</si>
  <si>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</si>
  <si>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</si>
  <si>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</si>
  <si>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</si>
  <si>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</si>
  <si>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</si>
  <si>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</si>
  <si>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</si>
  <si>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</si>
  <si>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</si>
  <si>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</si>
  <si>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</si>
  <si>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</si>
  <si>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</si>
  <si>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</si>
  <si>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</si>
  <si>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</si>
  <si>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</si>
  <si>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</si>
  <si>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</si>
  <si>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</si>
  <si>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</si>
  <si>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</si>
  <si>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</si>
  <si>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</si>
  <si>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</si>
  <si>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</si>
  <si>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</si>
  <si>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</si>
  <si>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</si>
  <si>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</si>
  <si>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</si>
  <si>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</si>
  <si>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</si>
  <si>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</si>
  <si>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</si>
  <si>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</si>
  <si>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</si>
  <si>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</si>
  <si>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</si>
  <si>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</si>
  <si>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</si>
  <si>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</si>
  <si>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</si>
  <si>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</si>
  <si>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</si>
  <si>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</si>
  <si>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</si>
  <si>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</si>
  <si>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</si>
  <si>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</si>
  <si>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</si>
  <si>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</si>
  <si>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</si>
  <si>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</si>
  <si>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</si>
  <si>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</si>
  <si>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</si>
  <si>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</si>
  <si>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</si>
  <si>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</si>
  <si>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</si>
  <si>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</si>
  <si>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</si>
  <si>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</si>
  <si>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</si>
  <si>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</si>
  <si>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</si>
  <si>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</si>
  <si>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</si>
  <si>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</si>
  <si>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</si>
  <si>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</si>
  <si>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</si>
  <si>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</si>
  <si>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</si>
  <si>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</si>
  <si>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</si>
  <si>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</si>
  <si>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</si>
  <si>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</si>
  <si>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</si>
  <si>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</si>
  <si>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</si>
  <si>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>Beginning balance collective measure (as of June 30, 2014 measurement date)</t>
  </si>
  <si>
    <t>at June 30, 2014</t>
  </si>
  <si>
    <t>Share at 6/30/2015</t>
  </si>
  <si>
    <t xml:space="preserve"> - Entity contributions from 7/01/2014 through 6/30/2015</t>
  </si>
  <si>
    <t>Journal Entries for Entity's Year Ended June 30, 2016 (June 30, 2015 measurement date)</t>
  </si>
  <si>
    <t>To record pension accrual amounts for the year ended June 30, 2016</t>
  </si>
  <si>
    <t xml:space="preserve">   based on the June 30, 2015 measurement date.</t>
  </si>
  <si>
    <t>Journal Entry to record deferred outflow at June 30, 2016:</t>
  </si>
  <si>
    <t>To record employer contributions from July 1, 2015</t>
  </si>
  <si>
    <t xml:space="preserve">   through June 30, 2016 as deferred outflows at June 30, 2016.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</si>
  <si>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</si>
  <si>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</si>
  <si>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</si>
  <si>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</si>
  <si>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</si>
  <si>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</si>
  <si>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</si>
  <si>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</si>
  <si>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</si>
  <si>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</si>
  <si>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</si>
  <si>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</si>
  <si>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</si>
  <si>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</si>
  <si>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</si>
  <si>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</si>
  <si>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</si>
  <si>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</si>
  <si>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</si>
  <si>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</si>
  <si>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</si>
  <si>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</si>
  <si>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</si>
  <si>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</si>
  <si>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</si>
  <si>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</si>
  <si>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</si>
  <si>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the year ended June 30,2016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</si>
  <si>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</si>
  <si>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</si>
  <si>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</si>
  <si>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</si>
  <si>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</si>
  <si>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Instructions:  Locate the corresponding City ID in column A with your City in column B on the tab, MFPRSI Supplemental Info 2015.  Enter the City ID in the yellow box below and press 'Enter'.   Entering the City ID will auto-populate data for the gray boxes on the calculator.  Amounts to be used as journal entries as of June 30, 2016, will be created below.</t>
  </si>
  <si>
    <t>MFPRSI Amortization Schedule</t>
  </si>
  <si>
    <t>Instructions: Enter amount from 2015 mfprsi gasb 68 caclulator P74 for outflows and R74 for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</si>
</sst>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64" fontId="0" fillId="2" borderId="5" xfId="2" applyNumberFormat="1" applyFont="1" applyFill="1" applyBorder="1" applyAlignment="1">
      <alignment horizontal="right"/>
    </xf>
    <xf numFmtId="1" fontId="0" fillId="0" borderId="3" xfId="0" applyNumberFormat="1" applyBorder="1"/>
    <xf numFmtId="166" fontId="0" fillId="2" borderId="0" xfId="1" applyNumberFormat="1" applyFont="1" applyFill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2" borderId="5" xfId="2" applyNumberFormat="1" applyFont="1" applyFill="1" applyBorder="1"/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9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2" max="22" width="13.28515625" bestFit="1" customWidth="1"/>
  </cols>
  <sheetData>
    <row r="2" spans="1:15" ht="18.75" x14ac:dyDescent="0.3">
      <c r="A2" s="1" t="s">
        <v>166</v>
      </c>
    </row>
    <row r="3" spans="1:15" ht="18.75" x14ac:dyDescent="0.3">
      <c r="A3" s="1"/>
    </row>
    <row r="4" spans="1:15" ht="18.75" customHeight="1" x14ac:dyDescent="0.25">
      <c r="A4" s="110" t="s">
        <v>211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</row>
    <row r="5" spans="1:15" ht="18.75" customHeight="1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5" ht="18.75" customHeight="1" x14ac:dyDescent="0.2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1:15" ht="19.5" thickBot="1" x14ac:dyDescent="0.35">
      <c r="A7" s="1"/>
    </row>
    <row r="8" spans="1:15" ht="15.75" thickBot="1" x14ac:dyDescent="0.3">
      <c r="B8" t="s">
        <v>161</v>
      </c>
      <c r="C8" s="56"/>
      <c r="D8" s="11" t="e">
        <f>VLOOKUP($C$8,'MFPRSI Supplemental Info 2015'!$A$6:$Y$56,2,FALSE)</f>
        <v>#N/A</v>
      </c>
    </row>
    <row r="9" spans="1:15" x14ac:dyDescent="0.25">
      <c r="A9" s="2" t="s">
        <v>0</v>
      </c>
      <c r="K9" s="3"/>
      <c r="L9" s="3"/>
      <c r="M9" s="3" t="s">
        <v>1</v>
      </c>
      <c r="N9" s="3"/>
      <c r="O9" s="3" t="s">
        <v>1</v>
      </c>
    </row>
    <row r="10" spans="1:15" x14ac:dyDescent="0.25">
      <c r="K10" s="3"/>
      <c r="L10" s="3"/>
      <c r="M10" s="3" t="s">
        <v>2</v>
      </c>
      <c r="N10" s="3"/>
      <c r="O10" s="3" t="s">
        <v>3</v>
      </c>
    </row>
    <row r="11" spans="1:15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15" ht="15.75" thickBot="1" x14ac:dyDescent="0.3">
      <c r="B12" t="s">
        <v>168</v>
      </c>
      <c r="K12" s="87">
        <f>'MFPRSI Supplemental Info 2015'!F57</f>
        <v>362498253</v>
      </c>
      <c r="L12" s="3"/>
      <c r="M12" s="5">
        <f>'MFPRSI Supplemental Info 2014'!O57+'MFPRSI Supplemental Info 2014'!P57+'MFPRSI Supplemental Info 2014'!Q57</f>
        <v>26792260</v>
      </c>
      <c r="N12" s="3"/>
      <c r="O12" s="5">
        <f>-('MFPRSI Supplemental Info 2014'!S57+'MFPRSI Supplemental Info 2014'!T57+'MFPRSI Supplemental Info 2014'!U57)</f>
        <v>171426337</v>
      </c>
    </row>
    <row r="13" spans="1:15" ht="15.75" thickBot="1" x14ac:dyDescent="0.3">
      <c r="G13" s="6" t="s">
        <v>6</v>
      </c>
      <c r="H13" s="6"/>
      <c r="I13" s="6" t="s">
        <v>7</v>
      </c>
      <c r="J13" s="6"/>
      <c r="K13" s="88" t="s">
        <v>81</v>
      </c>
      <c r="L13" s="3"/>
      <c r="M13" s="7"/>
      <c r="N13" s="3"/>
      <c r="O13" s="7"/>
    </row>
    <row r="14" spans="1:15" ht="15.75" thickBot="1" x14ac:dyDescent="0.3">
      <c r="B14" t="s">
        <v>8</v>
      </c>
      <c r="G14" s="85" t="e">
        <f>VLOOKUP($C$8,'MFPRSI Supplemental Info 2015'!$A$6:$Y$56,3,FALSE)</f>
        <v>#N/A</v>
      </c>
      <c r="H14" s="4"/>
      <c r="I14" s="7" t="e">
        <f>K12*G14</f>
        <v>#N/A</v>
      </c>
      <c r="J14" s="8"/>
      <c r="K14" s="87" t="e">
        <f>VLOOKUP($C$8,'MFPRSI Supplemental Info 2015'!$A$6:$Y$56,5,FALSE)</f>
        <v>#N/A</v>
      </c>
      <c r="L14" s="3"/>
      <c r="M14" s="5" t="e">
        <f>M12*G14</f>
        <v>#N/A</v>
      </c>
      <c r="N14" s="3"/>
      <c r="O14" s="5" t="e">
        <f>G14*O12</f>
        <v>#N/A</v>
      </c>
    </row>
    <row r="15" spans="1:15" ht="15.75" thickBot="1" x14ac:dyDescent="0.3">
      <c r="G15" s="86"/>
      <c r="H15" s="4"/>
      <c r="K15" s="88"/>
      <c r="L15" s="3"/>
      <c r="M15" s="7"/>
      <c r="N15" s="3"/>
      <c r="O15" s="7"/>
    </row>
    <row r="16" spans="1:15" ht="15.75" thickBot="1" x14ac:dyDescent="0.3">
      <c r="B16" t="s">
        <v>9</v>
      </c>
      <c r="G16" s="85" t="e">
        <f>VLOOKUP($C$8,'MFPRSI Supplemental Info 2015'!$A$6:$Y$56,4,FALSE)</f>
        <v>#N/A</v>
      </c>
      <c r="H16" s="4"/>
      <c r="I16" s="7" t="e">
        <f>K12*G16</f>
        <v>#N/A</v>
      </c>
      <c r="J16" s="8"/>
      <c r="K16" s="87" t="e">
        <f>VLOOKUP($C$8,'MFPRSI Supplemental Info 2015'!$A$6:$Y$56,6,FALSE)</f>
        <v>#N/A</v>
      </c>
      <c r="L16" s="3"/>
      <c r="M16" s="5" t="e">
        <f>M12*G16</f>
        <v>#N/A</v>
      </c>
      <c r="N16" s="3"/>
      <c r="O16" s="5" t="e">
        <f>O12*G16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77</v>
      </c>
      <c r="M26" s="87">
        <f>'MFPRSI Supplemental Info 2015'!H57</f>
        <v>79748943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M26*G16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78</v>
      </c>
      <c r="M31" s="87" t="e">
        <f>VLOOKUP($C$8,'MFPRSI Supplemental Info 2015'!$A$6:$Y$56,9,FALSE)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09" t="s">
        <v>20</v>
      </c>
      <c r="L36" s="109"/>
      <c r="M36" s="109"/>
      <c r="N36" s="7"/>
      <c r="P36" s="14" t="s">
        <v>21</v>
      </c>
      <c r="Q36" s="14"/>
      <c r="R36" s="19"/>
    </row>
    <row r="37" spans="1:19" x14ac:dyDescent="0.25">
      <c r="K37" s="20">
        <v>41820</v>
      </c>
      <c r="L37" s="20"/>
      <c r="M37" s="20">
        <v>42185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2014'!O57,0)</f>
        <v>#N/A</v>
      </c>
      <c r="M41" s="87" t="e">
        <f>VLOOKUP($C$8,'MFPRSI Supplemental Info 2015'!$A$6:$Y$56,15,FALSE)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2014'!P57,0)</f>
        <v>#N/A</v>
      </c>
      <c r="M42" s="87" t="e">
        <f>VLOOKUP($C$8,'MFPRSI Supplemental Info 2015'!$A$6:$Y$56,16,FALSE)</f>
        <v>#N/A</v>
      </c>
      <c r="N42" s="15"/>
      <c r="P42" s="7" t="e">
        <f t="shared" ref="P42:P43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2014'!Q57,0)</f>
        <v>#N/A</v>
      </c>
      <c r="M43" s="87" t="e">
        <f>VLOOKUP($C$8,'MFPRSI Supplemental Info 2015'!$A$6:$Y$56,17,FALSE)</f>
        <v>#N/A</v>
      </c>
      <c r="N43" s="15"/>
      <c r="P43" s="7" t="e">
        <f t="shared" si="0"/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2014'!S57,0)</f>
        <v>#N/A</v>
      </c>
      <c r="M45" s="87" t="e">
        <f>-VLOOKUP($C$8,'MFPRSI Supplemental Info 2015'!$A$6:$Y$56,19,FALSE)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2014'!T57,0)</f>
        <v>#N/A</v>
      </c>
      <c r="M46" s="87" t="e">
        <f>-VLOOKUP($C$8,'MFPRSI Supplemental Info 2015'!$A$6:$Y$56,20,FALSE)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2014'!U57,0)</f>
        <v>#N/A</v>
      </c>
      <c r="M47" s="87" t="e">
        <f>-VLOOKUP($C$8,'MFPRSI Supplemental Info 2015'!$A$6:$Y$56,21,FALSE)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7" t="e">
        <f>VLOOKUP($C$8,'MFPRSI Supplemental Info 2015'!$A$6:$Y$56,23,FALSE)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</row>
    <row r="50" spans="1:22" ht="15.75" thickBot="1" x14ac:dyDescent="0.3">
      <c r="M50" t="s">
        <v>80</v>
      </c>
      <c r="N50" s="15"/>
      <c r="P50" s="7"/>
      <c r="Q50" s="7"/>
      <c r="R50" s="7"/>
    </row>
    <row r="51" spans="1:22" ht="15.75" thickBot="1" x14ac:dyDescent="0.3">
      <c r="B51" t="s">
        <v>34</v>
      </c>
      <c r="E51" s="87">
        <f>'MFPRSI Supplemental Info 2015'!Y57</f>
        <v>43614106.000000007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E51*K51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</row>
    <row r="53" spans="1:22" ht="15.75" thickBot="1" x14ac:dyDescent="0.3">
      <c r="N53" s="15"/>
    </row>
    <row r="54" spans="1:22" ht="15.75" thickBot="1" x14ac:dyDescent="0.3">
      <c r="K54" t="s">
        <v>81</v>
      </c>
      <c r="M54" s="87" t="e">
        <f>VLOOKUP($C$8,'MFPRSI Supplemental Info 2015'!$A$6:$Y$56,25,FALSE)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09" t="s">
        <v>20</v>
      </c>
      <c r="L60" s="109"/>
      <c r="M60" s="109"/>
      <c r="N60" s="7"/>
      <c r="P60" s="14" t="s">
        <v>21</v>
      </c>
      <c r="Q60" s="14"/>
      <c r="R60" s="19"/>
    </row>
    <row r="61" spans="1:22" x14ac:dyDescent="0.25">
      <c r="K61" s="20">
        <f>$K$37</f>
        <v>41820</v>
      </c>
      <c r="L61" s="20"/>
      <c r="M61" s="20">
        <f>$M$37</f>
        <v>42185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8"/>
    </row>
    <row r="63" spans="1:22" x14ac:dyDescent="0.25">
      <c r="I63" s="14" t="s">
        <v>169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26792260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171426337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362498253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3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170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79</v>
      </c>
      <c r="I82" s="87">
        <f>M26</f>
        <v>79748943</v>
      </c>
      <c r="K82" s="33" t="e">
        <f>I82*K80</f>
        <v>#N/A</v>
      </c>
      <c r="L82" s="33"/>
      <c r="M82" s="87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7" t="s">
        <v>209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8" t="s">
        <v>210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5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0" ht="15.75" thickBot="1" x14ac:dyDescent="0.3">
      <c r="I97" s="44"/>
      <c r="J97" s="38"/>
      <c r="K97" s="44"/>
      <c r="L97" s="44"/>
      <c r="M97" s="44"/>
      <c r="N97" s="44"/>
    </row>
    <row r="98" spans="1:20" ht="15.75" thickBot="1" x14ac:dyDescent="0.3">
      <c r="B98" t="s">
        <v>60</v>
      </c>
      <c r="I98" s="89">
        <f>'MFPRSI Supplemental Info 2015'!U59</f>
        <v>5.6</v>
      </c>
      <c r="J98" s="38"/>
      <c r="K98" s="44" t="s">
        <v>61</v>
      </c>
      <c r="L98" s="44"/>
      <c r="M98" s="44"/>
      <c r="N98" s="44"/>
    </row>
    <row r="99" spans="1:20" x14ac:dyDescent="0.25">
      <c r="I99" s="44"/>
      <c r="J99" s="38"/>
      <c r="K99" s="44"/>
      <c r="L99" s="44"/>
      <c r="M99" s="44"/>
      <c r="N99" s="44"/>
    </row>
    <row r="100" spans="1:20" x14ac:dyDescent="0.25">
      <c r="I100" s="44"/>
      <c r="J100" s="38"/>
      <c r="K100" s="44"/>
      <c r="L100" s="44"/>
      <c r="M100" s="44"/>
      <c r="N100" s="44"/>
    </row>
    <row r="101" spans="1:20" x14ac:dyDescent="0.25">
      <c r="I101" s="44"/>
      <c r="J101" s="38"/>
      <c r="K101" s="44"/>
      <c r="L101" s="44"/>
      <c r="M101" s="44"/>
      <c r="N101" s="44"/>
    </row>
    <row r="102" spans="1:20" x14ac:dyDescent="0.25">
      <c r="I102" s="44"/>
      <c r="J102" s="38"/>
      <c r="K102" s="44"/>
      <c r="L102" s="44"/>
      <c r="M102" s="44"/>
      <c r="N102" s="44"/>
    </row>
    <row r="105" spans="1:20" s="2" customFormat="1" x14ac:dyDescent="0.25">
      <c r="A105" s="2" t="s">
        <v>172</v>
      </c>
    </row>
    <row r="107" spans="1:20" ht="15.75" thickBot="1" x14ac:dyDescent="0.3">
      <c r="I107" s="46" t="s">
        <v>62</v>
      </c>
      <c r="J107" s="47"/>
      <c r="K107" s="46" t="s">
        <v>63</v>
      </c>
      <c r="L107" s="48"/>
      <c r="O107" s="25" t="s">
        <v>72</v>
      </c>
      <c r="P107" s="25" t="s">
        <v>73</v>
      </c>
      <c r="Q107" s="25"/>
      <c r="R107" s="25" t="s">
        <v>74</v>
      </c>
      <c r="S107" s="25"/>
      <c r="T107" s="25" t="s">
        <v>75</v>
      </c>
    </row>
    <row r="108" spans="1:20" ht="15.75" thickTop="1" x14ac:dyDescent="0.25">
      <c r="A108" t="s">
        <v>27</v>
      </c>
      <c r="I108" s="48"/>
      <c r="J108" s="47"/>
      <c r="K108" s="48"/>
      <c r="L108" s="48"/>
    </row>
    <row r="109" spans="1:20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</row>
    <row r="110" spans="1:20" x14ac:dyDescent="0.25">
      <c r="B110" t="s">
        <v>29</v>
      </c>
      <c r="I110" s="49" t="e">
        <f>+P42</f>
        <v>#N/A</v>
      </c>
      <c r="J110" s="3"/>
      <c r="K110" s="7" t="e">
        <f t="shared" si="4"/>
        <v>#N/A</v>
      </c>
    </row>
    <row r="111" spans="1:20" x14ac:dyDescent="0.25">
      <c r="B111" t="s">
        <v>67</v>
      </c>
      <c r="I111" s="49" t="e">
        <f>+P43</f>
        <v>#N/A</v>
      </c>
      <c r="J111" s="3"/>
      <c r="K111" s="7" t="e">
        <f t="shared" si="4"/>
        <v>#N/A</v>
      </c>
    </row>
    <row r="112" spans="1:20" x14ac:dyDescent="0.25">
      <c r="B112" t="s">
        <v>82</v>
      </c>
      <c r="I112" s="49" t="e">
        <f>IF(I94&gt;0,I94,0)</f>
        <v>#N/A</v>
      </c>
      <c r="J112" s="3"/>
      <c r="K112" s="7" t="e">
        <f>IF(I94&lt;0,-I94,0)</f>
        <v>#N/A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7" t="s">
        <v>76</v>
      </c>
      <c r="I116" s="84">
        <v>3</v>
      </c>
      <c r="J116" s="50"/>
      <c r="K116" s="84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67</v>
      </c>
      <c r="I119" s="17" t="e">
        <f>P47</f>
        <v>#N/A</v>
      </c>
      <c r="J119" s="17"/>
      <c r="K119" s="17" t="e">
        <f>R47</f>
        <v>#N/A</v>
      </c>
      <c r="L119" s="50"/>
    </row>
    <row r="120" spans="1:20" x14ac:dyDescent="0.25">
      <c r="B120" t="s">
        <v>68</v>
      </c>
      <c r="I120" s="17"/>
      <c r="J120" s="17"/>
      <c r="K120" s="17"/>
      <c r="L120" s="17"/>
    </row>
    <row r="121" spans="1:20" x14ac:dyDescent="0.25">
      <c r="B121" t="s">
        <v>171</v>
      </c>
      <c r="I121" s="17">
        <f>K31</f>
        <v>0</v>
      </c>
      <c r="J121" s="17"/>
      <c r="K121" s="17" t="e">
        <f>M31</f>
        <v>#N/A</v>
      </c>
      <c r="L121" s="50"/>
    </row>
    <row r="122" spans="1:20" x14ac:dyDescent="0.25">
      <c r="I122" s="17"/>
      <c r="J122" s="17"/>
      <c r="K122" s="17"/>
      <c r="L122" s="17"/>
    </row>
    <row r="123" spans="1:20" x14ac:dyDescent="0.25">
      <c r="B123" t="s">
        <v>32</v>
      </c>
      <c r="I123" s="17"/>
      <c r="J123" s="50" t="s">
        <v>33</v>
      </c>
      <c r="K123" s="17" t="e">
        <f>R49</f>
        <v>#N/A</v>
      </c>
      <c r="L123" s="17"/>
    </row>
    <row r="124" spans="1:20" ht="15.75" thickBot="1" x14ac:dyDescent="0.3">
      <c r="E124" t="s">
        <v>69</v>
      </c>
      <c r="I124" s="51" t="e">
        <f>SUM(I109:I123)</f>
        <v>#N/A</v>
      </c>
      <c r="J124" s="52"/>
      <c r="K124" s="51" t="e">
        <f>SUM(K109:K123)</f>
        <v>#N/A</v>
      </c>
      <c r="L124" s="53"/>
    </row>
    <row r="125" spans="1:20" ht="15.75" thickTop="1" x14ac:dyDescent="0.25"/>
    <row r="126" spans="1:20" ht="15.75" thickBot="1" x14ac:dyDescent="0.3">
      <c r="G126" t="s">
        <v>70</v>
      </c>
      <c r="K126" s="31" t="e">
        <f>I124-K124</f>
        <v>#N/A</v>
      </c>
      <c r="L126" s="12"/>
    </row>
    <row r="127" spans="1:20" ht="15.75" thickTop="1" x14ac:dyDescent="0.25"/>
    <row r="128" spans="1:20" x14ac:dyDescent="0.25">
      <c r="B128" t="s">
        <v>173</v>
      </c>
    </row>
    <row r="129" spans="1:15" x14ac:dyDescent="0.25">
      <c r="B129" t="s">
        <v>174</v>
      </c>
    </row>
    <row r="131" spans="1:15" x14ac:dyDescent="0.25">
      <c r="A131" s="2" t="s">
        <v>175</v>
      </c>
    </row>
    <row r="132" spans="1:15" ht="18.75" customHeight="1" x14ac:dyDescent="0.25">
      <c r="A132" s="119" t="s">
        <v>167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1"/>
    </row>
    <row r="133" spans="1:15" ht="18.75" customHeight="1" x14ac:dyDescent="0.25">
      <c r="A133" s="122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4"/>
    </row>
    <row r="135" spans="1:15" x14ac:dyDescent="0.25">
      <c r="B135" t="s">
        <v>71</v>
      </c>
      <c r="I135" s="82"/>
      <c r="J135" s="55"/>
      <c r="K135" s="55"/>
      <c r="L135" s="55"/>
    </row>
    <row r="136" spans="1:15" x14ac:dyDescent="0.25">
      <c r="I136" s="55"/>
      <c r="J136" s="55"/>
      <c r="K136" s="55"/>
      <c r="L136" s="55"/>
    </row>
    <row r="137" spans="1:15" x14ac:dyDescent="0.25">
      <c r="B137" t="s">
        <v>56</v>
      </c>
      <c r="I137" s="55"/>
      <c r="J137" s="55"/>
      <c r="K137" s="82"/>
      <c r="L137" s="54"/>
    </row>
    <row r="139" spans="1:15" x14ac:dyDescent="0.25">
      <c r="B139" t="s">
        <v>176</v>
      </c>
    </row>
    <row r="140" spans="1:15" x14ac:dyDescent="0.25">
      <c r="B140" t="s">
        <v>177</v>
      </c>
    </row>
    <row r="143" spans="1:15" x14ac:dyDescent="0.25">
      <c r="A143" t="s">
        <v>207</v>
      </c>
      <c r="I143" s="17">
        <f>IF(Amort!J12-Amort!J21&gt;0,Amort!J12-Amort!J21,0)</f>
        <v>0</v>
      </c>
      <c r="J143" s="17"/>
      <c r="K143" s="17">
        <f>IF(Amort!J12-Amort!J21&lt;0,Amort!J21-Amort!J12,0)</f>
        <v>0</v>
      </c>
    </row>
    <row r="144" spans="1:15" x14ac:dyDescent="0.25">
      <c r="I144" s="17"/>
      <c r="J144" s="17"/>
      <c r="K144" s="17"/>
    </row>
    <row r="145" spans="2:11" x14ac:dyDescent="0.25">
      <c r="B145" t="s">
        <v>56</v>
      </c>
      <c r="I145" s="17">
        <f>K143</f>
        <v>0</v>
      </c>
      <c r="J145" s="17"/>
      <c r="K145" s="17">
        <f>I143</f>
        <v>0</v>
      </c>
    </row>
    <row r="148" spans="2:11" x14ac:dyDescent="0.25">
      <c r="B148" t="s">
        <v>206</v>
      </c>
    </row>
    <row r="149" spans="2:11" x14ac:dyDescent="0.25">
      <c r="B149" t="s">
        <v>205</v>
      </c>
    </row>
  </sheetData>
  <mergeCells count="4">
    <mergeCell ref="K36:M36"/>
    <mergeCell ref="K60:M60"/>
    <mergeCell ref="A4:O6"/>
    <mergeCell ref="A132:O133"/>
  </mergeCells>
  <pageMargins left="0.51" right="0.25" top="0.75" bottom="0.34" header="0.3" footer="0.5"/>
  <pageSetup scale="65" orientation="landscape" r:id="rId1"/>
  <rowBreaks count="2" manualBreakCount="2">
    <brk id="5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7" workbookViewId="0">
      <selection activeCell="H12" sqref="H12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5" width="16" bestFit="1" customWidth="1"/>
    <col min="16" max="16" width="10.7109375" customWidth="1"/>
  </cols>
  <sheetData>
    <row r="1" spans="1:15" ht="15.75" x14ac:dyDescent="0.25">
      <c r="A1" s="90" t="s">
        <v>212</v>
      </c>
    </row>
    <row r="3" spans="1:15" x14ac:dyDescent="0.25">
      <c r="B3" s="11" t="s">
        <v>178</v>
      </c>
      <c r="C3" s="11"/>
      <c r="D3" s="11"/>
      <c r="E3" s="11"/>
      <c r="F3" s="11"/>
      <c r="G3" s="11"/>
      <c r="H3" s="11"/>
      <c r="I3" s="11" t="s">
        <v>179</v>
      </c>
      <c r="J3" s="11"/>
      <c r="K3" s="11"/>
    </row>
    <row r="4" spans="1:15" x14ac:dyDescent="0.25">
      <c r="B4" s="11" t="s">
        <v>180</v>
      </c>
    </row>
    <row r="5" spans="1:15" ht="18.75" customHeight="1" x14ac:dyDescent="0.25">
      <c r="A5" s="127" t="s">
        <v>213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</row>
    <row r="6" spans="1:15" ht="18.75" customHeight="1" x14ac:dyDescent="0.25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9" spans="1:15" x14ac:dyDescent="0.25">
      <c r="F9" s="23" t="s">
        <v>181</v>
      </c>
      <c r="G9" s="23" t="s">
        <v>182</v>
      </c>
      <c r="H9" s="23" t="s">
        <v>183</v>
      </c>
      <c r="I9" s="125" t="s">
        <v>184</v>
      </c>
      <c r="J9" s="125"/>
      <c r="K9" s="125"/>
      <c r="L9" s="125"/>
      <c r="M9" s="125"/>
      <c r="N9" s="125"/>
      <c r="O9" s="125"/>
    </row>
    <row r="10" spans="1:15" x14ac:dyDescent="0.25">
      <c r="F10" s="25" t="s">
        <v>185</v>
      </c>
      <c r="G10" s="25" t="s">
        <v>186</v>
      </c>
      <c r="H10" s="25" t="s">
        <v>185</v>
      </c>
      <c r="I10" s="19">
        <v>2015</v>
      </c>
      <c r="J10" s="19">
        <v>2016</v>
      </c>
      <c r="K10" s="19">
        <v>2017</v>
      </c>
      <c r="L10" s="19">
        <v>2018</v>
      </c>
      <c r="M10" s="19">
        <v>2019</v>
      </c>
      <c r="N10" s="19">
        <v>2020</v>
      </c>
      <c r="O10" s="19">
        <v>2021</v>
      </c>
    </row>
    <row r="11" spans="1:15" x14ac:dyDescent="0.25">
      <c r="B11" t="s">
        <v>187</v>
      </c>
    </row>
    <row r="12" spans="1:15" x14ac:dyDescent="0.25">
      <c r="F12">
        <v>2015</v>
      </c>
      <c r="G12" s="106">
        <f>'MFPRSI Supplemental Info 2014'!U59</f>
        <v>5.6</v>
      </c>
      <c r="H12" s="99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H12-I12-J12-K12-L12-M12</f>
        <v>0</v>
      </c>
      <c r="O12" s="7"/>
    </row>
    <row r="13" spans="1:15" x14ac:dyDescent="0.25">
      <c r="F13">
        <v>2016</v>
      </c>
      <c r="G13" s="106">
        <f>'MFPRSI Supplemental Info 2015'!U59</f>
        <v>5.6</v>
      </c>
      <c r="H13" s="100" t="e">
        <f>IF(calculator!K94&gt;0,calculator!K94,0)</f>
        <v>#N/A</v>
      </c>
      <c r="I13" s="7"/>
      <c r="J13" s="7" t="e">
        <f>ROUND(H13/G13,0)</f>
        <v>#N/A</v>
      </c>
      <c r="K13" s="7" t="e">
        <f>ROUND(H13/G13,0)</f>
        <v>#N/A</v>
      </c>
      <c r="L13" s="7" t="e">
        <f>ROUND(H13/G13,0)</f>
        <v>#N/A</v>
      </c>
      <c r="M13" s="7" t="e">
        <f>ROUND(H13/G13,0)</f>
        <v>#N/A</v>
      </c>
      <c r="N13" s="7" t="e">
        <f>ROUND(H13/G13,0)</f>
        <v>#N/A</v>
      </c>
      <c r="O13" s="7" t="e">
        <f>H13-J13-K13-L13-M13-N13</f>
        <v>#N/A</v>
      </c>
    </row>
    <row r="14" spans="1:15" x14ac:dyDescent="0.25">
      <c r="I14" s="34"/>
      <c r="J14" s="34"/>
      <c r="K14" s="34"/>
      <c r="L14" s="34"/>
      <c r="M14" s="34"/>
      <c r="N14" s="34"/>
      <c r="O14" s="34"/>
    </row>
    <row r="15" spans="1:15" x14ac:dyDescent="0.25">
      <c r="I15" s="34"/>
      <c r="J15" s="34"/>
      <c r="K15" s="34"/>
      <c r="L15" s="34"/>
      <c r="M15" s="34"/>
      <c r="N15" s="34"/>
      <c r="O15" s="34"/>
    </row>
    <row r="16" spans="1:15" x14ac:dyDescent="0.25">
      <c r="I16" s="34"/>
      <c r="J16" s="34"/>
      <c r="K16" s="34"/>
      <c r="L16" s="34"/>
      <c r="M16" s="34"/>
      <c r="N16" s="34"/>
      <c r="O16" s="34"/>
    </row>
    <row r="17" spans="1:17" x14ac:dyDescent="0.25">
      <c r="C17" t="s">
        <v>188</v>
      </c>
      <c r="I17" s="91">
        <f>SUM(I12:I16)</f>
        <v>0</v>
      </c>
      <c r="J17" s="91" t="e">
        <f t="shared" ref="J17:O17" si="0">SUM(J12:J16)</f>
        <v>#N/A</v>
      </c>
      <c r="K17" s="91" t="e">
        <f t="shared" si="0"/>
        <v>#N/A</v>
      </c>
      <c r="L17" s="91" t="e">
        <f t="shared" si="0"/>
        <v>#N/A</v>
      </c>
      <c r="M17" s="91" t="e">
        <f t="shared" si="0"/>
        <v>#N/A</v>
      </c>
      <c r="N17" s="91" t="e">
        <f t="shared" si="0"/>
        <v>#N/A</v>
      </c>
      <c r="O17" s="91" t="e">
        <f t="shared" si="0"/>
        <v>#N/A</v>
      </c>
    </row>
    <row r="18" spans="1:17" x14ac:dyDescent="0.25">
      <c r="I18" s="34"/>
      <c r="J18" s="34"/>
      <c r="K18" s="34"/>
      <c r="L18" s="34"/>
      <c r="M18" s="34"/>
      <c r="N18" s="34"/>
      <c r="O18" s="34"/>
    </row>
    <row r="19" spans="1:17" x14ac:dyDescent="0.25">
      <c r="I19" s="34"/>
      <c r="J19" s="34"/>
      <c r="K19" s="34"/>
      <c r="L19" s="34"/>
      <c r="M19" s="34"/>
      <c r="N19" s="34"/>
      <c r="O19" s="34"/>
    </row>
    <row r="20" spans="1:17" x14ac:dyDescent="0.25">
      <c r="B20" t="s">
        <v>189</v>
      </c>
      <c r="I20" s="34"/>
      <c r="J20" s="34"/>
      <c r="K20" s="34"/>
      <c r="L20" s="34"/>
      <c r="M20" s="34"/>
      <c r="N20" s="34"/>
      <c r="O20" s="34"/>
    </row>
    <row r="21" spans="1:17" x14ac:dyDescent="0.25">
      <c r="F21">
        <v>2015</v>
      </c>
      <c r="G21" s="106">
        <f>'MFPRSI Supplemental Info 2014'!U59</f>
        <v>5.6</v>
      </c>
      <c r="H21" s="99"/>
      <c r="I21" s="7">
        <f>ROUND(H21/G21,0)</f>
        <v>0</v>
      </c>
      <c r="J21" s="7">
        <f>ROUND(H21/G21,0)</f>
        <v>0</v>
      </c>
      <c r="K21" s="7">
        <f>ROUND(H21/G21,0)</f>
        <v>0</v>
      </c>
      <c r="L21" s="7">
        <f>ROUND(H21/G21,0)</f>
        <v>0</v>
      </c>
      <c r="M21" s="7">
        <f>ROUND(H21/G21,0)</f>
        <v>0</v>
      </c>
      <c r="N21" s="7">
        <f>H21-I21-J21-K21-L21-M21</f>
        <v>0</v>
      </c>
      <c r="O21" s="7"/>
      <c r="P21" s="7"/>
      <c r="Q21" s="7"/>
    </row>
    <row r="22" spans="1:17" x14ac:dyDescent="0.25">
      <c r="F22">
        <v>2016</v>
      </c>
      <c r="G22" s="106">
        <f>'MFPRSI Supplemental Info 2015'!U59</f>
        <v>5.6</v>
      </c>
      <c r="H22" s="100" t="e">
        <f>IF(calculator!K94&lt;0,-calculator!K94,0)</f>
        <v>#N/A</v>
      </c>
      <c r="I22" s="7"/>
      <c r="J22" s="7" t="e">
        <f>ROUND(H22/G22,0)</f>
        <v>#N/A</v>
      </c>
      <c r="K22" s="7" t="e">
        <f>ROUND(H22/G22,0)</f>
        <v>#N/A</v>
      </c>
      <c r="L22" s="7" t="e">
        <f>ROUND(H22/G22,0)</f>
        <v>#N/A</v>
      </c>
      <c r="M22" s="7" t="e">
        <f>ROUND(H22/G22,0)</f>
        <v>#N/A</v>
      </c>
      <c r="N22" s="7" t="e">
        <f>ROUND(H22/G22,0)</f>
        <v>#N/A</v>
      </c>
      <c r="O22" s="7" t="e">
        <f>H22-J22-K22-L22-M22-N22</f>
        <v>#N/A</v>
      </c>
      <c r="P22" s="7"/>
      <c r="Q22" s="7"/>
    </row>
    <row r="23" spans="1:17" x14ac:dyDescent="0.25"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thickBot="1" x14ac:dyDescent="0.3">
      <c r="C28" t="s">
        <v>190</v>
      </c>
      <c r="H28" s="7"/>
      <c r="I28" s="9">
        <f>SUM(I21:I27)</f>
        <v>0</v>
      </c>
      <c r="J28" s="9" t="e">
        <f t="shared" ref="J28:O28" si="1">SUM(J21:J27)</f>
        <v>#N/A</v>
      </c>
      <c r="K28" s="9" t="e">
        <f t="shared" si="1"/>
        <v>#N/A</v>
      </c>
      <c r="L28" s="9" t="e">
        <f t="shared" si="1"/>
        <v>#N/A</v>
      </c>
      <c r="M28" s="9" t="e">
        <f t="shared" si="1"/>
        <v>#N/A</v>
      </c>
      <c r="N28" s="9" t="e">
        <f t="shared" si="1"/>
        <v>#N/A</v>
      </c>
      <c r="O28" s="9" t="e">
        <f t="shared" si="1"/>
        <v>#N/A</v>
      </c>
      <c r="P28" s="7"/>
      <c r="Q28" s="7"/>
    </row>
    <row r="29" spans="1:17" ht="15.75" thickTop="1" x14ac:dyDescent="0.25"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I30" s="34"/>
      <c r="J30" s="34"/>
      <c r="K30" s="34"/>
      <c r="L30" s="34"/>
      <c r="M30" s="34"/>
      <c r="N30" s="34"/>
      <c r="O30" s="34"/>
    </row>
    <row r="31" spans="1:17" x14ac:dyDescent="0.25">
      <c r="A31" s="2" t="s">
        <v>191</v>
      </c>
    </row>
    <row r="32" spans="1:17" x14ac:dyDescent="0.25">
      <c r="G32" s="109" t="s">
        <v>208</v>
      </c>
      <c r="H32" s="109"/>
      <c r="I32" s="109"/>
      <c r="J32" s="109"/>
      <c r="L32" s="126"/>
      <c r="M32" s="126"/>
      <c r="N32" s="126"/>
      <c r="O32" s="126"/>
    </row>
    <row r="33" spans="1:16" x14ac:dyDescent="0.25">
      <c r="B33" t="s">
        <v>192</v>
      </c>
      <c r="G33" s="23" t="s">
        <v>193</v>
      </c>
      <c r="H33" s="92" t="s">
        <v>194</v>
      </c>
      <c r="I33" s="92" t="s">
        <v>195</v>
      </c>
      <c r="L33" s="101"/>
      <c r="M33" s="102"/>
      <c r="N33" s="102"/>
      <c r="O33" s="103"/>
    </row>
    <row r="34" spans="1:16" x14ac:dyDescent="0.25">
      <c r="B34" t="s">
        <v>196</v>
      </c>
      <c r="G34" s="93" t="s">
        <v>197</v>
      </c>
      <c r="H34" s="93" t="s">
        <v>198</v>
      </c>
      <c r="I34" s="93" t="s">
        <v>199</v>
      </c>
      <c r="J34" s="94" t="s">
        <v>200</v>
      </c>
      <c r="L34" s="102"/>
      <c r="M34" s="102"/>
      <c r="N34" s="102"/>
      <c r="O34" s="102"/>
    </row>
    <row r="35" spans="1:16" x14ac:dyDescent="0.25">
      <c r="E35">
        <v>2017</v>
      </c>
      <c r="G35" s="95">
        <v>-11266460</v>
      </c>
      <c r="H35" s="7" t="e">
        <f>G35*D42</f>
        <v>#N/A</v>
      </c>
      <c r="I35" s="7" t="e">
        <f>+K17-K28</f>
        <v>#N/A</v>
      </c>
      <c r="J35" s="7" t="e">
        <f>SUM(H35:I35)</f>
        <v>#N/A</v>
      </c>
      <c r="K35" s="7"/>
      <c r="L35" s="104"/>
      <c r="M35" s="104"/>
      <c r="N35" s="104"/>
      <c r="O35" s="104"/>
      <c r="P35" s="88"/>
    </row>
    <row r="36" spans="1:16" x14ac:dyDescent="0.25">
      <c r="A36" s="2"/>
      <c r="E36">
        <v>2018</v>
      </c>
      <c r="G36" s="95">
        <v>-11266460</v>
      </c>
      <c r="H36" s="7" t="e">
        <f>G36*D42</f>
        <v>#N/A</v>
      </c>
      <c r="I36" s="7" t="e">
        <f>+L17-L28</f>
        <v>#N/A</v>
      </c>
      <c r="J36" s="7" t="e">
        <f t="shared" ref="J36:J40" si="2">SUM(H36:I36)</f>
        <v>#N/A</v>
      </c>
      <c r="K36" s="7"/>
      <c r="L36" s="104"/>
      <c r="M36" s="104"/>
      <c r="N36" s="104"/>
      <c r="O36" s="104"/>
      <c r="P36" s="88"/>
    </row>
    <row r="37" spans="1:16" x14ac:dyDescent="0.25">
      <c r="E37">
        <v>2019</v>
      </c>
      <c r="G37" s="95">
        <v>-11266460</v>
      </c>
      <c r="H37" s="7" t="e">
        <f>G37*D42</f>
        <v>#N/A</v>
      </c>
      <c r="I37" s="7" t="e">
        <f>+M17-M28</f>
        <v>#N/A</v>
      </c>
      <c r="J37" s="7" t="e">
        <f t="shared" si="2"/>
        <v>#N/A</v>
      </c>
      <c r="K37" s="7"/>
      <c r="L37" s="104"/>
      <c r="M37" s="104"/>
      <c r="N37" s="104"/>
      <c r="O37" s="104"/>
      <c r="P37" s="88"/>
    </row>
    <row r="38" spans="1:16" x14ac:dyDescent="0.25">
      <c r="E38">
        <v>2020</v>
      </c>
      <c r="G38" s="95">
        <v>29093093</v>
      </c>
      <c r="H38" s="7" t="e">
        <f>G38*D42</f>
        <v>#N/A</v>
      </c>
      <c r="I38" s="7" t="e">
        <f>+N17-N28</f>
        <v>#N/A</v>
      </c>
      <c r="J38" s="7" t="e">
        <f t="shared" si="2"/>
        <v>#N/A</v>
      </c>
      <c r="K38" s="7"/>
      <c r="L38" s="104"/>
      <c r="M38" s="104"/>
      <c r="N38" s="104"/>
      <c r="O38" s="104"/>
      <c r="P38" s="7"/>
    </row>
    <row r="39" spans="1:16" x14ac:dyDescent="0.25">
      <c r="E39">
        <v>2021</v>
      </c>
      <c r="G39" s="95">
        <v>3523122</v>
      </c>
      <c r="H39" s="7" t="e">
        <f>G39*D42</f>
        <v>#N/A</v>
      </c>
      <c r="I39" s="7" t="e">
        <f>+O17-O28</f>
        <v>#N/A</v>
      </c>
      <c r="J39" s="7" t="e">
        <f t="shared" si="2"/>
        <v>#N/A</v>
      </c>
      <c r="K39" s="7"/>
      <c r="L39" s="104"/>
      <c r="M39" s="104"/>
      <c r="N39" s="104"/>
      <c r="O39" s="104"/>
      <c r="P39" s="7"/>
    </row>
    <row r="40" spans="1:16" x14ac:dyDescent="0.25">
      <c r="E40" s="55" t="s">
        <v>201</v>
      </c>
      <c r="G40" s="95">
        <v>0</v>
      </c>
      <c r="H40" s="7" t="e">
        <f>G40*D42</f>
        <v>#N/A</v>
      </c>
      <c r="I40" s="7"/>
      <c r="J40" s="7" t="e">
        <f t="shared" si="2"/>
        <v>#N/A</v>
      </c>
      <c r="K40" s="7"/>
      <c r="L40" s="104"/>
      <c r="M40" s="104"/>
      <c r="N40" s="104"/>
      <c r="O40" s="104"/>
      <c r="P40" s="7"/>
    </row>
    <row r="41" spans="1:16" ht="15.75" thickBot="1" x14ac:dyDescent="0.3">
      <c r="E41" t="s">
        <v>202</v>
      </c>
      <c r="G41" s="9">
        <f>SUM(G35:G40)</f>
        <v>-1183165</v>
      </c>
      <c r="H41" s="9" t="e">
        <f>SUM(H35:H40)</f>
        <v>#N/A</v>
      </c>
      <c r="I41" s="9" t="e">
        <f>SUM(I35:I40)</f>
        <v>#N/A</v>
      </c>
      <c r="J41" s="9" t="e">
        <f>SUM(J35:J40)</f>
        <v>#N/A</v>
      </c>
      <c r="K41" s="7"/>
      <c r="L41" s="104"/>
      <c r="M41" s="104"/>
      <c r="N41" s="104"/>
      <c r="O41" s="104"/>
      <c r="P41" s="7"/>
    </row>
    <row r="42" spans="1:16" ht="16.5" thickTop="1" thickBot="1" x14ac:dyDescent="0.3">
      <c r="A42" t="s">
        <v>203</v>
      </c>
      <c r="D42" s="96" t="e">
        <f>calculator!G16</f>
        <v>#N/A</v>
      </c>
      <c r="G42" s="7"/>
      <c r="H42" t="s">
        <v>204</v>
      </c>
      <c r="I42" s="7"/>
      <c r="J42" s="7"/>
      <c r="K42" s="7"/>
      <c r="L42" s="104"/>
      <c r="M42" s="103"/>
      <c r="N42" s="104"/>
      <c r="O42" s="104"/>
      <c r="P42" s="7"/>
    </row>
    <row r="43" spans="1:16" ht="15.75" thickTop="1" x14ac:dyDescent="0.25">
      <c r="L43" s="103"/>
      <c r="M43" s="103"/>
      <c r="N43" s="103"/>
      <c r="O43" s="103"/>
    </row>
  </sheetData>
  <mergeCells count="4">
    <mergeCell ref="I9:O9"/>
    <mergeCell ref="G32:J32"/>
    <mergeCell ref="L32:O32"/>
    <mergeCell ref="A5:O6"/>
  </mergeCells>
  <pageMargins left="0.7" right="0.7" top="0.75" bottom="0.75" header="0.3" footer="0.3"/>
  <pageSetup scale="67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8" sqref="H28"/>
    </sheetView>
  </sheetViews>
  <sheetFormatPr defaultRowHeight="15" x14ac:dyDescent="0.25"/>
  <cols>
    <col min="1" max="1" width="3.5703125" style="57" bestFit="1" customWidth="1"/>
    <col min="2" max="2" width="15" style="61" bestFit="1" customWidth="1"/>
    <col min="3" max="3" width="10.7109375" style="59" bestFit="1" customWidth="1"/>
    <col min="4" max="4" width="10.7109375" style="60" bestFit="1" customWidth="1"/>
    <col min="5" max="5" width="11.140625" style="60" bestFit="1" customWidth="1"/>
    <col min="6" max="6" width="10.7109375" style="60" bestFit="1" customWidth="1"/>
    <col min="7" max="7" width="9.7109375" style="60" bestFit="1" customWidth="1"/>
    <col min="8" max="9" width="9.85546875" style="60" bestFit="1" customWidth="1"/>
    <col min="10" max="10" width="11.140625" style="60" customWidth="1"/>
    <col min="11" max="11" width="8.7109375" style="61" bestFit="1" customWidth="1"/>
    <col min="12" max="12" width="9.28515625" style="61" bestFit="1" customWidth="1"/>
    <col min="13" max="13" width="9.7109375" style="61" bestFit="1" customWidth="1"/>
    <col min="14" max="14" width="0.85546875" style="61" customWidth="1"/>
    <col min="15" max="15" width="10.7109375" style="61" bestFit="1" customWidth="1"/>
    <col min="16" max="16" width="12.42578125" style="62" bestFit="1" customWidth="1"/>
    <col min="17" max="17" width="10.140625" style="61" customWidth="1"/>
    <col min="18" max="18" width="2.7109375" style="61" customWidth="1"/>
    <col min="19" max="19" width="10.7109375" style="61" bestFit="1" customWidth="1"/>
    <col min="20" max="20" width="11.7109375" style="61" customWidth="1"/>
    <col min="21" max="21" width="12.7109375" style="61" bestFit="1" customWidth="1"/>
    <col min="22" max="22" width="2.7109375" style="61" customWidth="1"/>
    <col min="23" max="23" width="12.7109375" style="61" bestFit="1" customWidth="1"/>
    <col min="24" max="24" width="2.7109375" style="61" customWidth="1"/>
    <col min="25" max="25" width="11.140625" style="61" bestFit="1" customWidth="1"/>
    <col min="27" max="27" width="11.28515625" bestFit="1" customWidth="1"/>
  </cols>
  <sheetData>
    <row r="1" spans="1:27" x14ac:dyDescent="0.25">
      <c r="C1" s="58" t="s">
        <v>162</v>
      </c>
      <c r="O1" s="58" t="s">
        <v>163</v>
      </c>
    </row>
    <row r="3" spans="1:27" x14ac:dyDescent="0.25">
      <c r="H3" s="63" t="s">
        <v>83</v>
      </c>
      <c r="K3" s="133" t="s">
        <v>84</v>
      </c>
      <c r="L3" s="133"/>
      <c r="M3" s="133"/>
      <c r="O3" s="134" t="s">
        <v>27</v>
      </c>
      <c r="P3" s="134"/>
      <c r="Q3" s="134"/>
      <c r="S3" s="134" t="s">
        <v>30</v>
      </c>
      <c r="T3" s="134"/>
      <c r="U3" s="134"/>
    </row>
    <row r="4" spans="1:27" x14ac:dyDescent="0.25">
      <c r="C4" s="65">
        <v>41820</v>
      </c>
      <c r="D4" s="65">
        <v>42185</v>
      </c>
      <c r="E4" s="65">
        <v>41820</v>
      </c>
      <c r="G4" s="63" t="s">
        <v>85</v>
      </c>
      <c r="H4" s="63" t="s">
        <v>49</v>
      </c>
      <c r="I4" s="63" t="s">
        <v>49</v>
      </c>
      <c r="J4" s="63" t="s">
        <v>86</v>
      </c>
      <c r="O4" s="63" t="s">
        <v>87</v>
      </c>
      <c r="Q4" s="63" t="s">
        <v>88</v>
      </c>
      <c r="R4" s="63"/>
      <c r="S4" s="63" t="s">
        <v>87</v>
      </c>
      <c r="U4" s="63" t="s">
        <v>88</v>
      </c>
      <c r="V4" s="63"/>
      <c r="W4" s="63" t="s">
        <v>164</v>
      </c>
      <c r="X4" s="63"/>
      <c r="Y4" s="57" t="s">
        <v>89</v>
      </c>
    </row>
    <row r="5" spans="1:27" x14ac:dyDescent="0.25">
      <c r="A5" s="57" t="s">
        <v>159</v>
      </c>
      <c r="C5" s="66" t="s">
        <v>90</v>
      </c>
      <c r="D5" s="66" t="s">
        <v>90</v>
      </c>
      <c r="E5" s="63" t="s">
        <v>91</v>
      </c>
      <c r="F5" s="63" t="s">
        <v>92</v>
      </c>
      <c r="G5" s="63" t="s">
        <v>90</v>
      </c>
      <c r="H5" s="63" t="s">
        <v>93</v>
      </c>
      <c r="I5" s="63" t="s">
        <v>93</v>
      </c>
      <c r="J5" s="63" t="s">
        <v>94</v>
      </c>
      <c r="K5" s="63" t="s">
        <v>95</v>
      </c>
      <c r="L5" s="57" t="s">
        <v>96</v>
      </c>
      <c r="M5" s="57" t="s">
        <v>96</v>
      </c>
      <c r="O5" s="57" t="s">
        <v>97</v>
      </c>
      <c r="P5" s="67" t="s">
        <v>165</v>
      </c>
      <c r="Q5" s="57" t="s">
        <v>97</v>
      </c>
      <c r="R5" s="57"/>
      <c r="S5" s="57" t="s">
        <v>97</v>
      </c>
      <c r="T5" s="63" t="s">
        <v>165</v>
      </c>
      <c r="U5" s="57" t="s">
        <v>97</v>
      </c>
      <c r="V5" s="57"/>
      <c r="W5" s="63" t="s">
        <v>92</v>
      </c>
      <c r="X5" s="63"/>
      <c r="Y5" s="57" t="s">
        <v>95</v>
      </c>
    </row>
    <row r="6" spans="1:27" ht="20.100000000000001" customHeight="1" x14ac:dyDescent="0.35">
      <c r="A6" s="64" t="s">
        <v>160</v>
      </c>
      <c r="B6" s="68" t="s">
        <v>98</v>
      </c>
      <c r="C6" s="69" t="s">
        <v>99</v>
      </c>
      <c r="D6" s="69" t="s">
        <v>99</v>
      </c>
      <c r="E6" s="70" t="s">
        <v>100</v>
      </c>
      <c r="F6" s="71">
        <v>41820</v>
      </c>
      <c r="G6" s="70" t="s">
        <v>101</v>
      </c>
      <c r="H6" s="70" t="s">
        <v>102</v>
      </c>
      <c r="I6" s="70" t="s">
        <v>102</v>
      </c>
      <c r="J6" s="70" t="s">
        <v>103</v>
      </c>
      <c r="K6" s="70" t="s">
        <v>56</v>
      </c>
      <c r="L6" s="70" t="s">
        <v>104</v>
      </c>
      <c r="M6" s="72" t="s">
        <v>105</v>
      </c>
      <c r="O6" s="72" t="s">
        <v>106</v>
      </c>
      <c r="P6" s="73" t="s">
        <v>107</v>
      </c>
      <c r="Q6" s="72" t="s">
        <v>108</v>
      </c>
      <c r="R6" s="72"/>
      <c r="S6" s="72" t="s">
        <v>106</v>
      </c>
      <c r="T6" s="72" t="s">
        <v>107</v>
      </c>
      <c r="U6" s="72" t="s">
        <v>108</v>
      </c>
      <c r="V6" s="72"/>
      <c r="W6" s="71">
        <v>42185</v>
      </c>
      <c r="X6" s="71"/>
      <c r="Y6" s="72" t="s">
        <v>56</v>
      </c>
    </row>
    <row r="7" spans="1:27" ht="20.100000000000001" customHeight="1" x14ac:dyDescent="0.25">
      <c r="A7" s="57">
        <v>101</v>
      </c>
      <c r="B7" s="74" t="s">
        <v>109</v>
      </c>
      <c r="C7" s="59">
        <f>'MFPRSI Supplemental Info 2014'!D7</f>
        <v>2.6844061590719944E-2</v>
      </c>
      <c r="D7" s="59">
        <v>2.6967266512861493E-2</v>
      </c>
      <c r="E7" s="76">
        <f>'MFPRSI Supplemental Info 2014'!W7</f>
        <v>9730925</v>
      </c>
      <c r="F7" s="76">
        <f>ROUND($E$57*D7,0)</f>
        <v>9775587</v>
      </c>
      <c r="G7" s="76">
        <f t="shared" ref="G7:G55" si="0">F7-E7</f>
        <v>44662</v>
      </c>
      <c r="H7" s="76">
        <f>ROUND(D7*79748943,0)</f>
        <v>2150611</v>
      </c>
      <c r="I7" s="76">
        <f>H7</f>
        <v>2150611</v>
      </c>
      <c r="J7" s="76">
        <f>H7-I7</f>
        <v>0</v>
      </c>
      <c r="K7" s="62">
        <f>ROUND((G7+J7)/5.6,0)</f>
        <v>7975</v>
      </c>
      <c r="L7" s="77">
        <f>IF(K7&lt;0,0,G7+J7-K7)</f>
        <v>36687</v>
      </c>
      <c r="M7" s="62">
        <f>IF(G7&lt;0,(G7+J7-K7),0)</f>
        <v>0</v>
      </c>
      <c r="O7" s="62">
        <v>340561.27590557531</v>
      </c>
      <c r="P7" s="76">
        <v>953286.53392202326</v>
      </c>
      <c r="Q7" s="62">
        <v>2142322.4218664062</v>
      </c>
      <c r="S7" s="76">
        <v>-21651.775577777877</v>
      </c>
      <c r="T7" s="62">
        <v>0</v>
      </c>
      <c r="U7" s="76">
        <v>-3446426</v>
      </c>
      <c r="W7" s="76">
        <v>12669610</v>
      </c>
      <c r="X7" s="76"/>
      <c r="Y7" s="76">
        <v>1176153.2202221914</v>
      </c>
      <c r="AA7" s="49"/>
    </row>
    <row r="8" spans="1:27" ht="20.100000000000001" customHeight="1" x14ac:dyDescent="0.25">
      <c r="A8" s="57">
        <v>102</v>
      </c>
      <c r="B8" s="74" t="s">
        <v>110</v>
      </c>
      <c r="C8" s="59">
        <f>'MFPRSI Supplemental Info 2014'!D8</f>
        <v>1.6611833750079456E-2</v>
      </c>
      <c r="D8" s="59">
        <v>1.786951583797167E-2</v>
      </c>
      <c r="E8" s="76">
        <f>'MFPRSI Supplemental Info 2014'!W8</f>
        <v>6021760</v>
      </c>
      <c r="F8" s="76">
        <f t="shared" ref="F8:F55" si="1">ROUND($E$57*D8,0)</f>
        <v>6477668</v>
      </c>
      <c r="G8" s="76">
        <f t="shared" si="0"/>
        <v>455908</v>
      </c>
      <c r="H8" s="76">
        <f t="shared" ref="H8:H55" si="2">ROUND(D8*79748943,0)</f>
        <v>1425075</v>
      </c>
      <c r="I8" s="76">
        <f t="shared" ref="I8:I55" si="3">H8</f>
        <v>1425075</v>
      </c>
      <c r="J8" s="76">
        <f t="shared" ref="J8:J55" si="4">H8-I8</f>
        <v>0</v>
      </c>
      <c r="K8" s="62">
        <f t="shared" ref="K8:K23" si="5">ROUND((G8+J8)/5.6,0)</f>
        <v>81412</v>
      </c>
      <c r="L8" s="62">
        <f t="shared" ref="L8:L55" si="6">IF(K8&lt;0,0,G8+J8-K8)</f>
        <v>374496</v>
      </c>
      <c r="M8" s="62">
        <f t="shared" ref="M8:M55" si="7">IF(G8&lt;0,(G8+J8-K8),0)</f>
        <v>0</v>
      </c>
      <c r="O8" s="62">
        <v>225668.59383735029</v>
      </c>
      <c r="P8" s="76">
        <v>631683.18553607666</v>
      </c>
      <c r="Q8" s="62">
        <v>1419582.6792205884</v>
      </c>
      <c r="S8" s="76">
        <v>-14347.273440664912</v>
      </c>
      <c r="T8" s="62">
        <v>0</v>
      </c>
      <c r="U8" s="76">
        <v>-2283730</v>
      </c>
      <c r="W8" s="76">
        <v>8395357</v>
      </c>
      <c r="X8" s="76"/>
      <c r="Y8" s="76">
        <v>779362.95792597521</v>
      </c>
      <c r="AA8" s="49"/>
    </row>
    <row r="9" spans="1:27" ht="20.100000000000001" customHeight="1" x14ac:dyDescent="0.25">
      <c r="A9" s="57">
        <v>103</v>
      </c>
      <c r="B9" s="74" t="s">
        <v>111</v>
      </c>
      <c r="C9" s="59">
        <f>'MFPRSI Supplemental Info 2014'!D9</f>
        <v>1.874664098100411E-2</v>
      </c>
      <c r="D9" s="59">
        <v>1.8702291765798074E-2</v>
      </c>
      <c r="E9" s="76">
        <f>'MFPRSI Supplemental Info 2014'!W9</f>
        <v>6795625</v>
      </c>
      <c r="F9" s="76">
        <f t="shared" si="1"/>
        <v>6779548</v>
      </c>
      <c r="G9" s="76">
        <f t="shared" si="0"/>
        <v>-16077</v>
      </c>
      <c r="H9" s="76">
        <f t="shared" si="2"/>
        <v>1491488</v>
      </c>
      <c r="I9" s="76">
        <f t="shared" si="3"/>
        <v>1491488</v>
      </c>
      <c r="J9" s="76">
        <f t="shared" si="4"/>
        <v>0</v>
      </c>
      <c r="K9" s="62">
        <f t="shared" si="5"/>
        <v>-2871</v>
      </c>
      <c r="L9" s="62">
        <f t="shared" si="6"/>
        <v>0</v>
      </c>
      <c r="M9" s="62">
        <f t="shared" si="7"/>
        <v>-13206</v>
      </c>
      <c r="O9" s="62">
        <v>236185.46370210825</v>
      </c>
      <c r="P9" s="76">
        <v>661121.61888239696</v>
      </c>
      <c r="Q9" s="62">
        <v>1485739.7197097396</v>
      </c>
      <c r="S9" s="76">
        <v>-15015.901738133382</v>
      </c>
      <c r="T9" s="62">
        <v>0</v>
      </c>
      <c r="U9" s="76">
        <v>-2390159</v>
      </c>
      <c r="W9" s="76">
        <v>8786604</v>
      </c>
      <c r="X9" s="76"/>
      <c r="Y9" s="76">
        <v>815683.73551644431</v>
      </c>
      <c r="AA9" s="49"/>
    </row>
    <row r="10" spans="1:27" ht="20.100000000000001" customHeight="1" x14ac:dyDescent="0.25">
      <c r="A10" s="57">
        <v>104</v>
      </c>
      <c r="B10" s="74" t="s">
        <v>112</v>
      </c>
      <c r="C10" s="59">
        <f>'MFPRSI Supplemental Info 2014'!D10</f>
        <v>5.8176918757784522E-3</v>
      </c>
      <c r="D10" s="59">
        <v>5.9148746335108164E-3</v>
      </c>
      <c r="E10" s="76">
        <f>'MFPRSI Supplemental Info 2014'!W10</f>
        <v>2108903</v>
      </c>
      <c r="F10" s="76">
        <f t="shared" si="1"/>
        <v>2144132</v>
      </c>
      <c r="G10" s="76">
        <f t="shared" si="0"/>
        <v>35229</v>
      </c>
      <c r="H10" s="76">
        <f t="shared" si="2"/>
        <v>471705</v>
      </c>
      <c r="I10" s="76">
        <f t="shared" si="3"/>
        <v>471705</v>
      </c>
      <c r="J10" s="76">
        <f t="shared" si="4"/>
        <v>0</v>
      </c>
      <c r="K10" s="62">
        <f t="shared" si="5"/>
        <v>6291</v>
      </c>
      <c r="L10" s="62">
        <f t="shared" si="6"/>
        <v>28938</v>
      </c>
      <c r="M10" s="62">
        <f t="shared" si="7"/>
        <v>0</v>
      </c>
      <c r="O10" s="62">
        <v>74697.124050346349</v>
      </c>
      <c r="P10" s="76">
        <v>209089.42829906847</v>
      </c>
      <c r="Q10" s="62">
        <v>469887.02187726798</v>
      </c>
      <c r="S10" s="76">
        <v>-4748.9996093741329</v>
      </c>
      <c r="T10" s="62">
        <v>0</v>
      </c>
      <c r="U10" s="76">
        <v>-755922</v>
      </c>
      <c r="W10" s="76">
        <v>2778891</v>
      </c>
      <c r="X10" s="76"/>
      <c r="Y10" s="76">
        <v>257971.96924265189</v>
      </c>
      <c r="AA10" s="49"/>
    </row>
    <row r="11" spans="1:27" ht="20.100000000000001" customHeight="1" x14ac:dyDescent="0.25">
      <c r="A11" s="57">
        <v>105</v>
      </c>
      <c r="B11" s="74" t="s">
        <v>113</v>
      </c>
      <c r="C11" s="59">
        <f>'MFPRSI Supplemental Info 2014'!D11</f>
        <v>1.8017704648857651E-2</v>
      </c>
      <c r="D11" s="59">
        <v>1.7988489201668793E-2</v>
      </c>
      <c r="E11" s="76">
        <f>'MFPRSI Supplemental Info 2014'!W11</f>
        <v>6531386</v>
      </c>
      <c r="F11" s="76">
        <f t="shared" si="1"/>
        <v>6520796</v>
      </c>
      <c r="G11" s="76">
        <f t="shared" si="0"/>
        <v>-10590</v>
      </c>
      <c r="H11" s="76">
        <f t="shared" si="2"/>
        <v>1434563</v>
      </c>
      <c r="I11" s="76">
        <f t="shared" si="3"/>
        <v>1434563</v>
      </c>
      <c r="J11" s="76">
        <f t="shared" si="4"/>
        <v>0</v>
      </c>
      <c r="K11" s="62">
        <f t="shared" si="5"/>
        <v>-1891</v>
      </c>
      <c r="L11" s="62">
        <f t="shared" si="6"/>
        <v>0</v>
      </c>
      <c r="M11" s="62">
        <f t="shared" si="7"/>
        <v>-8699</v>
      </c>
      <c r="O11" s="62">
        <v>227171.07168471187</v>
      </c>
      <c r="P11" s="76">
        <v>635888.86598402949</v>
      </c>
      <c r="Q11" s="62">
        <v>1429034.1119244427</v>
      </c>
      <c r="S11" s="76">
        <v>-14442.796083617059</v>
      </c>
      <c r="T11" s="62">
        <v>0</v>
      </c>
      <c r="U11" s="76">
        <v>-2298935</v>
      </c>
      <c r="W11" s="76">
        <v>8451250</v>
      </c>
      <c r="X11" s="76"/>
      <c r="Y11" s="76">
        <v>784551.8748214381</v>
      </c>
      <c r="AA11" s="49"/>
    </row>
    <row r="12" spans="1:27" ht="20.100000000000001" customHeight="1" x14ac:dyDescent="0.25">
      <c r="A12" s="57">
        <v>106</v>
      </c>
      <c r="B12" s="74" t="s">
        <v>114</v>
      </c>
      <c r="C12" s="59">
        <f>'MFPRSI Supplemental Info 2014'!D12</f>
        <v>2.5757743319130173E-3</v>
      </c>
      <c r="D12" s="59">
        <v>2.6191444317951651E-3</v>
      </c>
      <c r="E12" s="76">
        <f>'MFPRSI Supplemental Info 2014'!W12</f>
        <v>933714</v>
      </c>
      <c r="F12" s="76">
        <f t="shared" si="1"/>
        <v>949435</v>
      </c>
      <c r="G12" s="76">
        <f t="shared" si="0"/>
        <v>15721</v>
      </c>
      <c r="H12" s="76">
        <f t="shared" si="2"/>
        <v>208874</v>
      </c>
      <c r="I12" s="76">
        <f t="shared" si="3"/>
        <v>208874</v>
      </c>
      <c r="J12" s="76">
        <f t="shared" si="4"/>
        <v>0</v>
      </c>
      <c r="K12" s="62">
        <f t="shared" si="5"/>
        <v>2807</v>
      </c>
      <c r="L12" s="62">
        <f t="shared" si="6"/>
        <v>12914</v>
      </c>
      <c r="M12" s="62">
        <f t="shared" si="7"/>
        <v>0</v>
      </c>
      <c r="O12" s="62">
        <v>33076.365713511717</v>
      </c>
      <c r="P12" s="76">
        <v>92586.140165017612</v>
      </c>
      <c r="Q12" s="62">
        <v>208068.98762487673</v>
      </c>
      <c r="S12" s="76">
        <v>-2102.887491988452</v>
      </c>
      <c r="T12" s="62">
        <v>0</v>
      </c>
      <c r="U12" s="76">
        <v>-334727</v>
      </c>
      <c r="W12" s="76">
        <v>1230510</v>
      </c>
      <c r="X12" s="76"/>
      <c r="Y12" s="76">
        <v>114231.64287762409</v>
      </c>
      <c r="AA12" s="49"/>
    </row>
    <row r="13" spans="1:27" ht="20.100000000000001" customHeight="1" x14ac:dyDescent="0.25">
      <c r="A13" s="57">
        <v>107</v>
      </c>
      <c r="B13" s="74" t="s">
        <v>115</v>
      </c>
      <c r="C13" s="59">
        <f>'MFPRSI Supplemental Info 2014'!D13</f>
        <v>2.7818787362549609E-3</v>
      </c>
      <c r="D13" s="59">
        <v>2.8797372273636278E-3</v>
      </c>
      <c r="E13" s="76">
        <f>'MFPRSI Supplemental Info 2014'!W13</f>
        <v>1008426</v>
      </c>
      <c r="F13" s="76">
        <f t="shared" si="1"/>
        <v>1043900</v>
      </c>
      <c r="G13" s="76">
        <f t="shared" si="0"/>
        <v>35474</v>
      </c>
      <c r="H13" s="76">
        <f t="shared" si="2"/>
        <v>229656</v>
      </c>
      <c r="I13" s="76">
        <f t="shared" si="3"/>
        <v>229656</v>
      </c>
      <c r="J13" s="76">
        <f t="shared" si="4"/>
        <v>0</v>
      </c>
      <c r="K13" s="62">
        <f t="shared" si="5"/>
        <v>6335</v>
      </c>
      <c r="L13" s="62">
        <f t="shared" si="6"/>
        <v>29139</v>
      </c>
      <c r="M13" s="62">
        <f t="shared" si="7"/>
        <v>0</v>
      </c>
      <c r="O13" s="62">
        <v>36367.311605572002</v>
      </c>
      <c r="P13" s="76">
        <v>101798.03424905581</v>
      </c>
      <c r="Q13" s="62">
        <v>228770.8926050092</v>
      </c>
      <c r="S13" s="76">
        <v>-2312.1151022152103</v>
      </c>
      <c r="T13" s="62">
        <v>0</v>
      </c>
      <c r="U13" s="76">
        <v>-368032</v>
      </c>
      <c r="W13" s="76">
        <v>1352943</v>
      </c>
      <c r="X13" s="76"/>
      <c r="Y13" s="76">
        <v>125597.16468638336</v>
      </c>
      <c r="AA13" s="49"/>
    </row>
    <row r="14" spans="1:27" ht="20.100000000000001" customHeight="1" x14ac:dyDescent="0.25">
      <c r="A14" s="57">
        <v>108</v>
      </c>
      <c r="B14" s="74" t="s">
        <v>116</v>
      </c>
      <c r="C14" s="59">
        <f>'MFPRSI Supplemental Info 2014'!D14</f>
        <v>1.7827707848698297E-2</v>
      </c>
      <c r="D14" s="59">
        <v>1.7270774359981172E-2</v>
      </c>
      <c r="E14" s="76">
        <f>'MFPRSI Supplemental Info 2014'!W14</f>
        <v>6462513</v>
      </c>
      <c r="F14" s="76">
        <f t="shared" si="1"/>
        <v>6260626</v>
      </c>
      <c r="G14" s="76">
        <f t="shared" si="0"/>
        <v>-201887</v>
      </c>
      <c r="H14" s="76">
        <f t="shared" si="2"/>
        <v>1377326</v>
      </c>
      <c r="I14" s="76">
        <f t="shared" si="3"/>
        <v>1377326</v>
      </c>
      <c r="J14" s="76">
        <f t="shared" si="4"/>
        <v>0</v>
      </c>
      <c r="K14" s="62">
        <f t="shared" si="5"/>
        <v>-36051</v>
      </c>
      <c r="L14" s="62">
        <f t="shared" si="6"/>
        <v>0</v>
      </c>
      <c r="M14" s="62">
        <f t="shared" si="7"/>
        <v>-165836</v>
      </c>
      <c r="O14" s="62">
        <v>218107.272722925</v>
      </c>
      <c r="P14" s="76">
        <v>610517.81499335985</v>
      </c>
      <c r="Q14" s="62">
        <v>1372017.7066050393</v>
      </c>
      <c r="S14" s="76">
        <v>-13866.549296659643</v>
      </c>
      <c r="T14" s="62">
        <v>0</v>
      </c>
      <c r="U14" s="76">
        <v>-2207210</v>
      </c>
      <c r="W14" s="76">
        <v>8114055</v>
      </c>
      <c r="X14" s="76"/>
      <c r="Y14" s="76">
        <v>753249.38363830105</v>
      </c>
      <c r="AA14" s="49"/>
    </row>
    <row r="15" spans="1:27" ht="20.100000000000001" customHeight="1" x14ac:dyDescent="0.25">
      <c r="A15" s="57">
        <v>109</v>
      </c>
      <c r="B15" s="74" t="s">
        <v>117</v>
      </c>
      <c r="C15" s="59">
        <f>'MFPRSI Supplemental Info 2014'!D15</f>
        <v>9.3012964115779778E-2</v>
      </c>
      <c r="D15" s="59">
        <v>9.3574418911107071E-2</v>
      </c>
      <c r="E15" s="76">
        <f>'MFPRSI Supplemental Info 2014'!W15</f>
        <v>33717037</v>
      </c>
      <c r="F15" s="76">
        <f t="shared" si="1"/>
        <v>33920563</v>
      </c>
      <c r="G15" s="76">
        <f t="shared" si="0"/>
        <v>203526</v>
      </c>
      <c r="H15" s="76">
        <f t="shared" si="2"/>
        <v>7462461</v>
      </c>
      <c r="I15" s="76">
        <f t="shared" si="3"/>
        <v>7462461</v>
      </c>
      <c r="J15" s="76">
        <f t="shared" si="4"/>
        <v>0</v>
      </c>
      <c r="K15" s="62">
        <f t="shared" si="5"/>
        <v>36344</v>
      </c>
      <c r="L15" s="62">
        <f t="shared" si="6"/>
        <v>167182</v>
      </c>
      <c r="M15" s="62">
        <f t="shared" si="7"/>
        <v>0</v>
      </c>
      <c r="O15" s="62">
        <v>1181722.4219329276</v>
      </c>
      <c r="P15" s="76">
        <v>3307833.7185191908</v>
      </c>
      <c r="Q15" s="62">
        <v>7433700.2473267391</v>
      </c>
      <c r="S15" s="76">
        <v>-75130.058773957673</v>
      </c>
      <c r="T15" s="62">
        <v>0</v>
      </c>
      <c r="U15" s="76">
        <v>-11958840</v>
      </c>
      <c r="W15" s="76">
        <v>43962603</v>
      </c>
      <c r="X15" s="76"/>
      <c r="Y15" s="76">
        <v>4081164.6252774284</v>
      </c>
      <c r="AA15" s="49"/>
    </row>
    <row r="16" spans="1:27" ht="20.100000000000001" customHeight="1" x14ac:dyDescent="0.25">
      <c r="A16" s="57">
        <v>110</v>
      </c>
      <c r="B16" s="74" t="s">
        <v>118</v>
      </c>
      <c r="C16" s="59">
        <f>'MFPRSI Supplemental Info 2014'!D16</f>
        <v>2.4090498878135062E-3</v>
      </c>
      <c r="D16" s="59">
        <v>2.2354904440551643E-3</v>
      </c>
      <c r="E16" s="76">
        <f>'MFPRSI Supplemental Info 2014'!W16</f>
        <v>873276</v>
      </c>
      <c r="F16" s="76">
        <f t="shared" si="1"/>
        <v>810361</v>
      </c>
      <c r="G16" s="76">
        <f t="shared" si="0"/>
        <v>-62915</v>
      </c>
      <c r="H16" s="76">
        <f t="shared" si="2"/>
        <v>178278</v>
      </c>
      <c r="I16" s="76">
        <f t="shared" si="3"/>
        <v>178278</v>
      </c>
      <c r="J16" s="76">
        <f t="shared" si="4"/>
        <v>0</v>
      </c>
      <c r="K16" s="62">
        <f t="shared" si="5"/>
        <v>-11235</v>
      </c>
      <c r="L16" s="62">
        <f t="shared" si="6"/>
        <v>0</v>
      </c>
      <c r="M16" s="62">
        <f t="shared" si="7"/>
        <v>-51680</v>
      </c>
      <c r="O16" s="62">
        <v>28231.318051425456</v>
      </c>
      <c r="P16" s="76">
        <v>79024.061857095701</v>
      </c>
      <c r="Q16" s="62">
        <v>177590.90636358652</v>
      </c>
      <c r="S16" s="76">
        <v>-1794.8551581178949</v>
      </c>
      <c r="T16" s="62">
        <v>0</v>
      </c>
      <c r="U16" s="76">
        <v>-285696</v>
      </c>
      <c r="W16" s="76">
        <v>1050265</v>
      </c>
      <c r="X16" s="76"/>
      <c r="Y16" s="76">
        <v>97498.917189009007</v>
      </c>
      <c r="AA16" s="49"/>
    </row>
    <row r="17" spans="1:27" ht="20.100000000000001" customHeight="1" x14ac:dyDescent="0.25">
      <c r="A17" s="57">
        <v>111</v>
      </c>
      <c r="B17" s="74" t="s">
        <v>119</v>
      </c>
      <c r="C17" s="59">
        <f>'MFPRSI Supplemental Info 2014'!D17</f>
        <v>2.9419456835232051E-3</v>
      </c>
      <c r="D17" s="59">
        <v>3.2524067434975281E-3</v>
      </c>
      <c r="E17" s="76">
        <f>'MFPRSI Supplemental Info 2014'!W17</f>
        <v>1066450</v>
      </c>
      <c r="F17" s="76">
        <f t="shared" si="1"/>
        <v>1178992</v>
      </c>
      <c r="G17" s="76">
        <f t="shared" si="0"/>
        <v>112542</v>
      </c>
      <c r="H17" s="76">
        <f t="shared" si="2"/>
        <v>259376</v>
      </c>
      <c r="I17" s="76">
        <f t="shared" si="3"/>
        <v>259376</v>
      </c>
      <c r="J17" s="76">
        <f t="shared" si="4"/>
        <v>0</v>
      </c>
      <c r="K17" s="62">
        <f t="shared" si="5"/>
        <v>20097</v>
      </c>
      <c r="L17" s="62">
        <f t="shared" si="6"/>
        <v>92445</v>
      </c>
      <c r="M17" s="62">
        <f t="shared" si="7"/>
        <v>0</v>
      </c>
      <c r="O17" s="62">
        <v>41073.639769946538</v>
      </c>
      <c r="P17" s="76">
        <v>114971.8140670529</v>
      </c>
      <c r="Q17" s="62">
        <v>258376.35002053881</v>
      </c>
      <c r="S17" s="76">
        <v>-2611.3281026934737</v>
      </c>
      <c r="T17" s="62">
        <v>0</v>
      </c>
      <c r="U17" s="76">
        <v>-415659</v>
      </c>
      <c r="W17" s="76">
        <v>1528029</v>
      </c>
      <c r="X17" s="76"/>
      <c r="Y17" s="76">
        <v>141850.81246601601</v>
      </c>
      <c r="AA17" s="49"/>
    </row>
    <row r="18" spans="1:27" ht="20.100000000000001" customHeight="1" x14ac:dyDescent="0.25">
      <c r="A18" s="57">
        <v>112</v>
      </c>
      <c r="B18" s="74" t="s">
        <v>120</v>
      </c>
      <c r="C18" s="59">
        <f>'MFPRSI Supplemental Info 2014'!D18</f>
        <v>1.9699636018870977E-2</v>
      </c>
      <c r="D18" s="59">
        <v>1.9325748304902298E-2</v>
      </c>
      <c r="E18" s="76">
        <f>'MFPRSI Supplemental Info 2014'!W18</f>
        <v>7141084</v>
      </c>
      <c r="F18" s="76">
        <f t="shared" si="1"/>
        <v>7005550</v>
      </c>
      <c r="G18" s="76">
        <f t="shared" si="0"/>
        <v>-135534</v>
      </c>
      <c r="H18" s="76">
        <f t="shared" si="2"/>
        <v>1541208</v>
      </c>
      <c r="I18" s="76">
        <f t="shared" si="3"/>
        <v>1541208</v>
      </c>
      <c r="J18" s="76">
        <f t="shared" si="4"/>
        <v>0</v>
      </c>
      <c r="K18" s="62">
        <f t="shared" si="5"/>
        <v>-24203</v>
      </c>
      <c r="L18" s="62">
        <f t="shared" si="6"/>
        <v>0</v>
      </c>
      <c r="M18" s="62">
        <f t="shared" si="7"/>
        <v>-111331</v>
      </c>
      <c r="O18" s="62">
        <v>244058.9036863849</v>
      </c>
      <c r="P18" s="76">
        <v>683160.66102744464</v>
      </c>
      <c r="Q18" s="62">
        <v>1535268.09597825</v>
      </c>
      <c r="S18" s="76">
        <v>-15516.469382271311</v>
      </c>
      <c r="T18" s="62">
        <v>0</v>
      </c>
      <c r="U18" s="76">
        <v>-2469837</v>
      </c>
      <c r="W18" s="76">
        <v>9079514</v>
      </c>
      <c r="X18" s="76"/>
      <c r="Y18" s="76">
        <v>842875.23509932915</v>
      </c>
      <c r="AA18" s="49"/>
    </row>
    <row r="19" spans="1:27" ht="20.100000000000001" customHeight="1" x14ac:dyDescent="0.25">
      <c r="A19" s="57">
        <v>113</v>
      </c>
      <c r="B19" s="74" t="s">
        <v>121</v>
      </c>
      <c r="C19" s="59">
        <f>'MFPRSI Supplemental Info 2014'!D19</f>
        <v>6.0032407171004293E-3</v>
      </c>
      <c r="D19" s="59">
        <v>5.9059842335465185E-3</v>
      </c>
      <c r="E19" s="76">
        <f>'MFPRSI Supplemental Info 2014'!W19</f>
        <v>2176164</v>
      </c>
      <c r="F19" s="76">
        <f t="shared" si="1"/>
        <v>2140909</v>
      </c>
      <c r="G19" s="76">
        <f t="shared" si="0"/>
        <v>-35255</v>
      </c>
      <c r="H19" s="76">
        <f t="shared" si="2"/>
        <v>470996</v>
      </c>
      <c r="I19" s="76">
        <f t="shared" si="3"/>
        <v>470996</v>
      </c>
      <c r="J19" s="76">
        <f t="shared" si="4"/>
        <v>0</v>
      </c>
      <c r="K19" s="62">
        <f t="shared" si="5"/>
        <v>-6296</v>
      </c>
      <c r="L19" s="62">
        <f t="shared" si="6"/>
        <v>0</v>
      </c>
      <c r="M19" s="62">
        <f t="shared" si="7"/>
        <v>-28959</v>
      </c>
      <c r="O19" s="62">
        <v>74584.849936330822</v>
      </c>
      <c r="P19" s="76">
        <v>208775.15474957455</v>
      </c>
      <c r="Q19" s="62">
        <v>469180.75440392981</v>
      </c>
      <c r="S19" s="76">
        <v>-4741.8615872563978</v>
      </c>
      <c r="T19" s="62">
        <v>0</v>
      </c>
      <c r="U19" s="76">
        <v>-754787</v>
      </c>
      <c r="W19" s="76">
        <v>2774719</v>
      </c>
      <c r="X19" s="76"/>
      <c r="Y19" s="76">
        <v>257584.2223962266</v>
      </c>
      <c r="AA19" s="49"/>
    </row>
    <row r="20" spans="1:27" ht="20.100000000000001" customHeight="1" x14ac:dyDescent="0.25">
      <c r="A20" s="57">
        <v>114</v>
      </c>
      <c r="B20" s="74" t="s">
        <v>122</v>
      </c>
      <c r="C20" s="59">
        <f>'MFPRSI Supplemental Info 2014'!D20</f>
        <v>5.8249479696675419E-2</v>
      </c>
      <c r="D20" s="59">
        <v>5.8799312236652468E-2</v>
      </c>
      <c r="E20" s="76">
        <f>'MFPRSI Supplemental Info 2014'!W20</f>
        <v>21115335</v>
      </c>
      <c r="F20" s="76">
        <f t="shared" si="1"/>
        <v>21314648</v>
      </c>
      <c r="G20" s="76">
        <f t="shared" si="0"/>
        <v>199313</v>
      </c>
      <c r="H20" s="76">
        <f t="shared" si="2"/>
        <v>4689183</v>
      </c>
      <c r="I20" s="76">
        <f t="shared" si="3"/>
        <v>4689183</v>
      </c>
      <c r="J20" s="76">
        <f t="shared" si="4"/>
        <v>0</v>
      </c>
      <c r="K20" s="62">
        <f t="shared" si="5"/>
        <v>35592</v>
      </c>
      <c r="L20" s="62">
        <f t="shared" si="6"/>
        <v>163721</v>
      </c>
      <c r="M20" s="62">
        <f t="shared" si="7"/>
        <v>0</v>
      </c>
      <c r="O20" s="62">
        <v>742558.34524920292</v>
      </c>
      <c r="P20" s="76">
        <v>2078541.8697272891</v>
      </c>
      <c r="Q20" s="62">
        <v>4671110.6197888795</v>
      </c>
      <c r="S20" s="76">
        <v>-47209.438600998139</v>
      </c>
      <c r="T20" s="62">
        <v>0</v>
      </c>
      <c r="U20" s="76">
        <v>-7514570</v>
      </c>
      <c r="W20" s="76">
        <v>27624758</v>
      </c>
      <c r="X20" s="76"/>
      <c r="Y20" s="76">
        <v>2564479.436616458</v>
      </c>
      <c r="AA20" s="49"/>
    </row>
    <row r="21" spans="1:27" ht="20.100000000000001" customHeight="1" x14ac:dyDescent="0.25">
      <c r="A21" s="57">
        <v>115</v>
      </c>
      <c r="B21" s="74" t="s">
        <v>123</v>
      </c>
      <c r="C21" s="59">
        <f>'MFPRSI Supplemental Info 2014'!D21</f>
        <v>2.8823874424836185E-3</v>
      </c>
      <c r="D21" s="59">
        <v>2.9174681349695129E-3</v>
      </c>
      <c r="E21" s="76">
        <f>'MFPRSI Supplemental Info 2014'!W21</f>
        <v>1044861</v>
      </c>
      <c r="F21" s="76">
        <f t="shared" si="1"/>
        <v>1057577</v>
      </c>
      <c r="G21" s="76">
        <f t="shared" si="0"/>
        <v>12716</v>
      </c>
      <c r="H21" s="76">
        <f t="shared" si="2"/>
        <v>232665</v>
      </c>
      <c r="I21" s="76">
        <f t="shared" si="3"/>
        <v>232665</v>
      </c>
      <c r="J21" s="76">
        <f t="shared" si="4"/>
        <v>0</v>
      </c>
      <c r="K21" s="62">
        <f t="shared" si="5"/>
        <v>2271</v>
      </c>
      <c r="L21" s="62">
        <f t="shared" si="6"/>
        <v>10445</v>
      </c>
      <c r="M21" s="62">
        <f t="shared" si="7"/>
        <v>0</v>
      </c>
      <c r="O21" s="62">
        <v>36843.803578876272</v>
      </c>
      <c r="P21" s="76">
        <v>103131.81296616056</v>
      </c>
      <c r="Q21" s="62">
        <v>231768.29574644016</v>
      </c>
      <c r="S21" s="76">
        <v>-2342.408908353807</v>
      </c>
      <c r="T21" s="62">
        <v>0</v>
      </c>
      <c r="U21" s="76">
        <v>-372854</v>
      </c>
      <c r="W21" s="76">
        <v>1370669</v>
      </c>
      <c r="X21" s="76"/>
      <c r="Y21" s="76">
        <v>127242.76449018264</v>
      </c>
      <c r="AA21" s="49"/>
    </row>
    <row r="22" spans="1:27" ht="20.100000000000001" customHeight="1" x14ac:dyDescent="0.25">
      <c r="A22" s="57">
        <v>116</v>
      </c>
      <c r="B22" s="74" t="s">
        <v>124</v>
      </c>
      <c r="C22" s="59">
        <f>'MFPRSI Supplemental Info 2014'!D22</f>
        <v>8.2312779956384044E-2</v>
      </c>
      <c r="D22" s="59">
        <v>8.0960533859364137E-2</v>
      </c>
      <c r="E22" s="76">
        <f>'MFPRSI Supplemental Info 2014'!W22</f>
        <v>29838239</v>
      </c>
      <c r="F22" s="76">
        <f t="shared" si="1"/>
        <v>29348052</v>
      </c>
      <c r="G22" s="76">
        <f t="shared" si="0"/>
        <v>-490187</v>
      </c>
      <c r="H22" s="76">
        <f t="shared" si="2"/>
        <v>6456517</v>
      </c>
      <c r="I22" s="76">
        <f t="shared" si="3"/>
        <v>6456517</v>
      </c>
      <c r="J22" s="76">
        <f t="shared" si="4"/>
        <v>0</v>
      </c>
      <c r="K22" s="62">
        <f t="shared" si="5"/>
        <v>-87533</v>
      </c>
      <c r="L22" s="62">
        <f t="shared" si="6"/>
        <v>0</v>
      </c>
      <c r="M22" s="62">
        <f t="shared" si="7"/>
        <v>-402654</v>
      </c>
      <c r="O22" s="62">
        <v>1022425.5653049471</v>
      </c>
      <c r="P22" s="76">
        <v>2861935.8462030655</v>
      </c>
      <c r="Q22" s="62">
        <v>6431633.2131945882</v>
      </c>
      <c r="S22" s="76">
        <v>-65002.483990878733</v>
      </c>
      <c r="T22" s="62">
        <v>0</v>
      </c>
      <c r="U22" s="76">
        <v>-10346781</v>
      </c>
      <c r="W22" s="76">
        <v>38036417</v>
      </c>
      <c r="X22" s="76"/>
      <c r="Y22" s="76">
        <v>3531021.3055588966</v>
      </c>
      <c r="AA22" s="49"/>
    </row>
    <row r="23" spans="1:27" ht="20.100000000000001" customHeight="1" x14ac:dyDescent="0.25">
      <c r="A23" s="57">
        <v>117</v>
      </c>
      <c r="B23" s="74" t="s">
        <v>125</v>
      </c>
      <c r="C23" s="59">
        <f>'MFPRSI Supplemental Info 2014'!D23</f>
        <v>2.8941409570900122E-3</v>
      </c>
      <c r="D23" s="59">
        <v>2.9432239622285651E-3</v>
      </c>
      <c r="E23" s="76">
        <f>'MFPRSI Supplemental Info 2014'!W23</f>
        <v>1049121</v>
      </c>
      <c r="F23" s="76">
        <f t="shared" si="1"/>
        <v>1066914</v>
      </c>
      <c r="G23" s="76">
        <f t="shared" si="0"/>
        <v>17793</v>
      </c>
      <c r="H23" s="76">
        <f t="shared" si="2"/>
        <v>234719</v>
      </c>
      <c r="I23" s="76">
        <f t="shared" si="3"/>
        <v>234719</v>
      </c>
      <c r="J23" s="76">
        <f t="shared" si="4"/>
        <v>0</v>
      </c>
      <c r="K23" s="62">
        <f t="shared" si="5"/>
        <v>3177</v>
      </c>
      <c r="L23" s="62">
        <f t="shared" si="6"/>
        <v>14616</v>
      </c>
      <c r="M23" s="62">
        <f t="shared" si="7"/>
        <v>0</v>
      </c>
      <c r="O23" s="62">
        <v>37169.065962780223</v>
      </c>
      <c r="P23" s="76">
        <v>104042.27540714866</v>
      </c>
      <c r="Q23" s="62">
        <v>233814.37951264132</v>
      </c>
      <c r="S23" s="76">
        <v>-2363.0880302576547</v>
      </c>
      <c r="T23" s="62">
        <v>0</v>
      </c>
      <c r="U23" s="76">
        <v>-376144</v>
      </c>
      <c r="W23" s="76">
        <v>1382767</v>
      </c>
      <c r="X23" s="76"/>
      <c r="Y23" s="76">
        <v>128366.08187037663</v>
      </c>
      <c r="AA23" s="49"/>
    </row>
    <row r="24" spans="1:27" ht="20.100000000000001" customHeight="1" x14ac:dyDescent="0.25">
      <c r="A24" s="57">
        <v>118</v>
      </c>
      <c r="B24" s="74" t="s">
        <v>126</v>
      </c>
      <c r="C24" s="59">
        <f>'MFPRSI Supplemental Info 2014'!D24</f>
        <v>0.1820457921297596</v>
      </c>
      <c r="D24" s="59">
        <v>0.1830480436587103</v>
      </c>
      <c r="E24" s="76">
        <f>'MFPRSI Supplemental Info 2014'!W24</f>
        <v>65991282</v>
      </c>
      <c r="F24" s="76">
        <f t="shared" si="1"/>
        <v>66354596</v>
      </c>
      <c r="G24" s="76">
        <f t="shared" si="0"/>
        <v>363314</v>
      </c>
      <c r="H24" s="76">
        <f t="shared" si="2"/>
        <v>14597888</v>
      </c>
      <c r="I24" s="76">
        <f t="shared" si="3"/>
        <v>14597888</v>
      </c>
      <c r="J24" s="76">
        <f t="shared" si="4"/>
        <v>0</v>
      </c>
      <c r="K24" s="62">
        <f>ROUND((G24+J24)/5.6,0)+1</f>
        <v>64879</v>
      </c>
      <c r="L24" s="62">
        <f t="shared" si="6"/>
        <v>298435</v>
      </c>
      <c r="M24" s="62">
        <f t="shared" si="7"/>
        <v>0</v>
      </c>
      <c r="O24" s="62">
        <v>2311657.1815203619</v>
      </c>
      <c r="P24" s="76">
        <v>6470705.3270451492</v>
      </c>
      <c r="Q24" s="62">
        <v>14541626.90244519</v>
      </c>
      <c r="S24" s="76">
        <v>-146967.62682118558</v>
      </c>
      <c r="T24" s="62">
        <v>0</v>
      </c>
      <c r="U24" s="76">
        <v>-23393598</v>
      </c>
      <c r="W24" s="76">
        <v>85998596</v>
      </c>
      <c r="X24" s="76"/>
      <c r="Y24" s="76">
        <v>7983476.779223619</v>
      </c>
      <c r="AA24" s="49"/>
    </row>
    <row r="25" spans="1:27" ht="20.100000000000001" customHeight="1" x14ac:dyDescent="0.25">
      <c r="A25" s="57">
        <v>119</v>
      </c>
      <c r="B25" s="74" t="s">
        <v>127</v>
      </c>
      <c r="C25" s="59">
        <f>'MFPRSI Supplemental Info 2014'!D25</f>
        <v>2.0695428219122793E-3</v>
      </c>
      <c r="D25" s="59">
        <v>2.2493840451277202E-3</v>
      </c>
      <c r="E25" s="76">
        <f>'MFPRSI Supplemental Info 2014'!W25</f>
        <v>750206</v>
      </c>
      <c r="F25" s="76">
        <f t="shared" si="1"/>
        <v>815398</v>
      </c>
      <c r="G25" s="76">
        <f t="shared" si="0"/>
        <v>65192</v>
      </c>
      <c r="H25" s="76">
        <f t="shared" si="2"/>
        <v>179386</v>
      </c>
      <c r="I25" s="76">
        <f t="shared" si="3"/>
        <v>179386</v>
      </c>
      <c r="J25" s="76">
        <f t="shared" si="4"/>
        <v>0</v>
      </c>
      <c r="K25" s="62">
        <f t="shared" ref="K25:K55" si="8">ROUND((G25+J25)/5.6,0)</f>
        <v>11641</v>
      </c>
      <c r="L25" s="62">
        <f t="shared" si="6"/>
        <v>53551</v>
      </c>
      <c r="M25" s="62">
        <f t="shared" si="7"/>
        <v>0</v>
      </c>
      <c r="O25" s="62">
        <v>28406.776046248033</v>
      </c>
      <c r="P25" s="76">
        <v>79515.197390014306</v>
      </c>
      <c r="Q25" s="62">
        <v>178694.63606804167</v>
      </c>
      <c r="S25" s="76">
        <v>-1806.0102053766404</v>
      </c>
      <c r="T25" s="62">
        <v>0</v>
      </c>
      <c r="U25" s="76">
        <v>-287471</v>
      </c>
      <c r="W25" s="76">
        <v>1056791</v>
      </c>
      <c r="X25" s="76"/>
      <c r="Y25" s="76">
        <v>98104.874178909173</v>
      </c>
      <c r="AA25" s="49"/>
    </row>
    <row r="26" spans="1:27" ht="20.100000000000001" customHeight="1" x14ac:dyDescent="0.25">
      <c r="A26" s="57">
        <v>120</v>
      </c>
      <c r="B26" s="74" t="s">
        <v>128</v>
      </c>
      <c r="C26" s="59">
        <f>'MFPRSI Supplemental Info 2014'!D26</f>
        <v>5.0788001669305957E-2</v>
      </c>
      <c r="D26" s="59">
        <v>4.9854905286957844E-2</v>
      </c>
      <c r="E26" s="76">
        <f>'MFPRSI Supplemental Info 2014'!W26</f>
        <v>18410561</v>
      </c>
      <c r="F26" s="76">
        <f t="shared" si="1"/>
        <v>18072316</v>
      </c>
      <c r="G26" s="76">
        <f t="shared" si="0"/>
        <v>-338245</v>
      </c>
      <c r="H26" s="76">
        <f t="shared" si="2"/>
        <v>3975876</v>
      </c>
      <c r="I26" s="76">
        <f t="shared" si="3"/>
        <v>3975876</v>
      </c>
      <c r="J26" s="76">
        <f t="shared" si="4"/>
        <v>0</v>
      </c>
      <c r="K26" s="62">
        <f t="shared" si="8"/>
        <v>-60401</v>
      </c>
      <c r="L26" s="62">
        <f t="shared" si="6"/>
        <v>0</v>
      </c>
      <c r="M26" s="62">
        <f t="shared" si="7"/>
        <v>-277844</v>
      </c>
      <c r="O26" s="62">
        <v>629602.1937032569</v>
      </c>
      <c r="P26" s="76">
        <v>1762359.1859912174</v>
      </c>
      <c r="Q26" s="62">
        <v>3960552.7458757162</v>
      </c>
      <c r="S26" s="76">
        <v>-40028.054760750871</v>
      </c>
      <c r="T26" s="62">
        <v>0</v>
      </c>
      <c r="U26" s="76">
        <v>-6371473</v>
      </c>
      <c r="W26" s="76">
        <v>23422551</v>
      </c>
      <c r="X26" s="76"/>
      <c r="Y26" s="76">
        <v>2174377.1238053399</v>
      </c>
      <c r="AA26" s="49"/>
    </row>
    <row r="27" spans="1:27" ht="20.100000000000001" customHeight="1" x14ac:dyDescent="0.25">
      <c r="A27" s="57">
        <v>121</v>
      </c>
      <c r="B27" s="74" t="s">
        <v>129</v>
      </c>
      <c r="C27" s="59">
        <f>'MFPRSI Supplemental Info 2014'!D27</f>
        <v>2.503164653213436E-3</v>
      </c>
      <c r="D27" s="59">
        <v>2.3507396204611765E-3</v>
      </c>
      <c r="E27" s="76">
        <f>'MFPRSI Supplemental Info 2014'!W27</f>
        <v>907392</v>
      </c>
      <c r="F27" s="76">
        <f t="shared" si="1"/>
        <v>852139</v>
      </c>
      <c r="G27" s="76">
        <f t="shared" si="0"/>
        <v>-55253</v>
      </c>
      <c r="H27" s="76">
        <f t="shared" si="2"/>
        <v>187469</v>
      </c>
      <c r="I27" s="76">
        <f t="shared" si="3"/>
        <v>187469</v>
      </c>
      <c r="J27" s="76">
        <f t="shared" si="4"/>
        <v>0</v>
      </c>
      <c r="K27" s="62">
        <f t="shared" si="8"/>
        <v>-9867</v>
      </c>
      <c r="L27" s="62">
        <f t="shared" si="6"/>
        <v>0</v>
      </c>
      <c r="M27" s="62">
        <f t="shared" si="7"/>
        <v>-45386</v>
      </c>
      <c r="O27" s="62">
        <v>29686.764288261475</v>
      </c>
      <c r="P27" s="76">
        <v>83098.093159491778</v>
      </c>
      <c r="Q27" s="62">
        <v>186746.4837224739</v>
      </c>
      <c r="S27" s="76">
        <v>-1887.3876846116943</v>
      </c>
      <c r="T27" s="62">
        <v>0</v>
      </c>
      <c r="U27" s="76">
        <v>-300425</v>
      </c>
      <c r="W27" s="76">
        <v>1104411</v>
      </c>
      <c r="X27" s="76"/>
      <c r="Y27" s="76">
        <v>102525.40698519352</v>
      </c>
      <c r="AA27" s="49"/>
    </row>
    <row r="28" spans="1:27" ht="20.100000000000001" customHeight="1" x14ac:dyDescent="0.25">
      <c r="A28" s="57">
        <v>122</v>
      </c>
      <c r="B28" s="74" t="s">
        <v>130</v>
      </c>
      <c r="C28" s="59">
        <f>'MFPRSI Supplemental Info 2014'!D28</f>
        <v>1.0326647681139247E-3</v>
      </c>
      <c r="D28" s="59">
        <v>1.0593494637289424E-3</v>
      </c>
      <c r="E28" s="76">
        <f>'MFPRSI Supplemental Info 2014'!W28</f>
        <v>374339</v>
      </c>
      <c r="F28" s="76">
        <f t="shared" si="1"/>
        <v>384012</v>
      </c>
      <c r="G28" s="76">
        <f t="shared" si="0"/>
        <v>9673</v>
      </c>
      <c r="H28" s="76">
        <f t="shared" si="2"/>
        <v>84482</v>
      </c>
      <c r="I28" s="76">
        <f t="shared" si="3"/>
        <v>84482</v>
      </c>
      <c r="J28" s="76">
        <f t="shared" si="4"/>
        <v>0</v>
      </c>
      <c r="K28" s="62">
        <f t="shared" si="8"/>
        <v>1727</v>
      </c>
      <c r="L28" s="62">
        <f t="shared" si="6"/>
        <v>7946</v>
      </c>
      <c r="M28" s="62">
        <f t="shared" si="7"/>
        <v>0</v>
      </c>
      <c r="O28" s="62">
        <v>13378.197038448521</v>
      </c>
      <c r="P28" s="76">
        <v>37447.754595694139</v>
      </c>
      <c r="Q28" s="62">
        <v>84156.401526876652</v>
      </c>
      <c r="S28" s="76">
        <v>-850.5421502827943</v>
      </c>
      <c r="T28" s="62">
        <v>0</v>
      </c>
      <c r="U28" s="76">
        <v>-135385</v>
      </c>
      <c r="W28" s="76">
        <v>497698</v>
      </c>
      <c r="X28" s="76"/>
      <c r="Y28" s="76">
        <v>46202.579802117252</v>
      </c>
      <c r="AA28" s="49"/>
    </row>
    <row r="29" spans="1:27" ht="20.100000000000001" customHeight="1" x14ac:dyDescent="0.25">
      <c r="A29" s="57">
        <v>123</v>
      </c>
      <c r="B29" s="74" t="s">
        <v>131</v>
      </c>
      <c r="C29" s="59">
        <f>'MFPRSI Supplemental Info 2014'!D29</f>
        <v>3.2123397007037457E-3</v>
      </c>
      <c r="D29" s="59">
        <v>3.3350410675662499E-3</v>
      </c>
      <c r="E29" s="76">
        <f>'MFPRSI Supplemental Info 2014'!W29</f>
        <v>1164467</v>
      </c>
      <c r="F29" s="76">
        <f t="shared" si="1"/>
        <v>1208947</v>
      </c>
      <c r="G29" s="76">
        <f t="shared" si="0"/>
        <v>44480</v>
      </c>
      <c r="H29" s="76">
        <f t="shared" si="2"/>
        <v>265966</v>
      </c>
      <c r="I29" s="76">
        <f t="shared" si="3"/>
        <v>265966</v>
      </c>
      <c r="J29" s="76">
        <f t="shared" si="4"/>
        <v>0</v>
      </c>
      <c r="K29" s="62">
        <f t="shared" si="8"/>
        <v>7943</v>
      </c>
      <c r="L29" s="62">
        <f t="shared" si="6"/>
        <v>36537</v>
      </c>
      <c r="M29" s="62">
        <f t="shared" si="7"/>
        <v>0</v>
      </c>
      <c r="O29" s="62">
        <v>42117.203114604294</v>
      </c>
      <c r="P29" s="76">
        <v>117892.91800381606</v>
      </c>
      <c r="Q29" s="62">
        <v>264940.95178259606</v>
      </c>
      <c r="S29" s="76">
        <v>-2677.6744577793338</v>
      </c>
      <c r="T29" s="62">
        <v>0</v>
      </c>
      <c r="U29" s="76">
        <v>-426219</v>
      </c>
      <c r="W29" s="76">
        <v>1566850</v>
      </c>
      <c r="X29" s="76"/>
      <c r="Y29" s="76">
        <v>145454.83463518758</v>
      </c>
      <c r="AA29" s="49"/>
    </row>
    <row r="30" spans="1:27" ht="20.100000000000001" customHeight="1" x14ac:dyDescent="0.25">
      <c r="A30" s="57">
        <v>124</v>
      </c>
      <c r="B30" s="74" t="s">
        <v>132</v>
      </c>
      <c r="C30" s="59">
        <f>'MFPRSI Supplemental Info 2014'!D30</f>
        <v>1.4805442570812186E-2</v>
      </c>
      <c r="D30" s="59">
        <v>1.452899507395352E-2</v>
      </c>
      <c r="E30" s="76">
        <f>'MFPRSI Supplemental Info 2014'!W30</f>
        <v>5366947</v>
      </c>
      <c r="F30" s="76">
        <f t="shared" si="1"/>
        <v>5266735</v>
      </c>
      <c r="G30" s="76">
        <f t="shared" si="0"/>
        <v>-100212</v>
      </c>
      <c r="H30" s="76">
        <f t="shared" si="2"/>
        <v>1158672</v>
      </c>
      <c r="I30" s="76">
        <f t="shared" si="3"/>
        <v>1158672</v>
      </c>
      <c r="J30" s="76">
        <f t="shared" si="4"/>
        <v>0</v>
      </c>
      <c r="K30" s="62">
        <f t="shared" si="8"/>
        <v>-17895</v>
      </c>
      <c r="L30" s="62">
        <f t="shared" si="6"/>
        <v>0</v>
      </c>
      <c r="M30" s="62">
        <f t="shared" si="7"/>
        <v>-82317</v>
      </c>
      <c r="O30" s="62">
        <v>183482.18932948116</v>
      </c>
      <c r="P30" s="76">
        <v>513596.56155041454</v>
      </c>
      <c r="Q30" s="62">
        <v>1154206.4116610549</v>
      </c>
      <c r="S30" s="76">
        <v>-11665.199383921616</v>
      </c>
      <c r="T30" s="62">
        <v>0</v>
      </c>
      <c r="U30" s="76">
        <v>-1856811</v>
      </c>
      <c r="W30" s="76">
        <v>6825932</v>
      </c>
      <c r="X30" s="76"/>
      <c r="Y30" s="76">
        <v>633669.13122888666</v>
      </c>
      <c r="AA30" s="49"/>
    </row>
    <row r="31" spans="1:27" ht="20.100000000000001" customHeight="1" x14ac:dyDescent="0.25">
      <c r="A31" s="57">
        <v>125</v>
      </c>
      <c r="B31" s="74" t="s">
        <v>133</v>
      </c>
      <c r="C31" s="59">
        <f>'MFPRSI Supplemental Info 2014'!D31</f>
        <v>6.8337147069923096E-3</v>
      </c>
      <c r="D31" s="59">
        <v>7.1055361824670206E-3</v>
      </c>
      <c r="E31" s="76">
        <f>'MFPRSI Supplemental Info 2014'!W31</f>
        <v>2477210</v>
      </c>
      <c r="F31" s="76">
        <f t="shared" si="1"/>
        <v>2575744</v>
      </c>
      <c r="G31" s="76">
        <f t="shared" si="0"/>
        <v>98534</v>
      </c>
      <c r="H31" s="76">
        <f t="shared" si="2"/>
        <v>566659</v>
      </c>
      <c r="I31" s="76">
        <f t="shared" si="3"/>
        <v>566659</v>
      </c>
      <c r="J31" s="76">
        <f t="shared" si="4"/>
        <v>0</v>
      </c>
      <c r="K31" s="62">
        <f t="shared" si="8"/>
        <v>17595</v>
      </c>
      <c r="L31" s="62">
        <f t="shared" si="6"/>
        <v>80939</v>
      </c>
      <c r="M31" s="62">
        <f t="shared" si="7"/>
        <v>0</v>
      </c>
      <c r="O31" s="62">
        <v>89733.62083769562</v>
      </c>
      <c r="P31" s="76">
        <v>251179.03424920631</v>
      </c>
      <c r="Q31" s="62">
        <v>564475.06371556548</v>
      </c>
      <c r="S31" s="76">
        <v>-5704.9710510771283</v>
      </c>
      <c r="T31" s="62">
        <v>0</v>
      </c>
      <c r="U31" s="76">
        <v>-908089</v>
      </c>
      <c r="W31" s="76">
        <v>3338280</v>
      </c>
      <c r="X31" s="76"/>
      <c r="Y31" s="76">
        <v>309901.60824895196</v>
      </c>
      <c r="AA31" s="49"/>
    </row>
    <row r="32" spans="1:27" ht="20.100000000000001" customHeight="1" x14ac:dyDescent="0.25">
      <c r="A32" s="57">
        <v>126</v>
      </c>
      <c r="B32" s="74" t="s">
        <v>134</v>
      </c>
      <c r="C32" s="59">
        <f>'MFPRSI Supplemental Info 2014'!D32</f>
        <v>4.0720016152878047E-3</v>
      </c>
      <c r="D32" s="59">
        <v>3.8365649561023021E-3</v>
      </c>
      <c r="E32" s="76">
        <f>'MFPRSI Supplemental Info 2014'!W32</f>
        <v>1476093</v>
      </c>
      <c r="F32" s="76">
        <f t="shared" si="1"/>
        <v>1390748</v>
      </c>
      <c r="G32" s="76">
        <f t="shared" si="0"/>
        <v>-85345</v>
      </c>
      <c r="H32" s="76">
        <f t="shared" si="2"/>
        <v>305962</v>
      </c>
      <c r="I32" s="76">
        <f t="shared" si="3"/>
        <v>305962</v>
      </c>
      <c r="J32" s="76">
        <f t="shared" si="4"/>
        <v>0</v>
      </c>
      <c r="K32" s="62">
        <f t="shared" si="8"/>
        <v>-15240</v>
      </c>
      <c r="L32" s="62">
        <f t="shared" si="6"/>
        <v>0</v>
      </c>
      <c r="M32" s="62">
        <f t="shared" si="7"/>
        <v>-70105</v>
      </c>
      <c r="O32" s="62">
        <v>48450.793332044537</v>
      </c>
      <c r="P32" s="76">
        <v>135621.66960545169</v>
      </c>
      <c r="Q32" s="62">
        <v>304782.80490478728</v>
      </c>
      <c r="S32" s="76">
        <v>-3080.3434741699334</v>
      </c>
      <c r="T32" s="62">
        <v>0</v>
      </c>
      <c r="U32" s="76">
        <v>-490314</v>
      </c>
      <c r="W32" s="76">
        <v>1802471</v>
      </c>
      <c r="X32" s="76"/>
      <c r="Y32" s="76">
        <v>167328.35067133117</v>
      </c>
      <c r="AA32" s="49"/>
    </row>
    <row r="33" spans="1:27" ht="20.100000000000001" customHeight="1" x14ac:dyDescent="0.25">
      <c r="A33" s="57">
        <v>127</v>
      </c>
      <c r="B33" s="74" t="s">
        <v>135</v>
      </c>
      <c r="C33" s="59">
        <f>'MFPRSI Supplemental Info 2014'!D33</f>
        <v>4.6781966677311264E-3</v>
      </c>
      <c r="D33" s="59">
        <v>4.5037462126614018E-3</v>
      </c>
      <c r="E33" s="76">
        <f>'MFPRSI Supplemental Info 2014'!W33</f>
        <v>1695838</v>
      </c>
      <c r="F33" s="76">
        <f t="shared" si="1"/>
        <v>1632600</v>
      </c>
      <c r="G33" s="76">
        <f t="shared" si="0"/>
        <v>-63238</v>
      </c>
      <c r="H33" s="76">
        <f t="shared" si="2"/>
        <v>359169</v>
      </c>
      <c r="I33" s="76">
        <f t="shared" si="3"/>
        <v>359169</v>
      </c>
      <c r="J33" s="76">
        <f t="shared" si="4"/>
        <v>0</v>
      </c>
      <c r="K33" s="62">
        <f t="shared" si="8"/>
        <v>-11293</v>
      </c>
      <c r="L33" s="62">
        <f t="shared" si="6"/>
        <v>0</v>
      </c>
      <c r="M33" s="62">
        <f t="shared" si="7"/>
        <v>-51945</v>
      </c>
      <c r="O33" s="62">
        <v>56876.419262121133</v>
      </c>
      <c r="P33" s="76">
        <v>159206.37023722057</v>
      </c>
      <c r="Q33" s="62">
        <v>357784.74207531504</v>
      </c>
      <c r="S33" s="76">
        <v>-3616.0173004299254</v>
      </c>
      <c r="T33" s="62">
        <v>0</v>
      </c>
      <c r="U33" s="76">
        <v>-575581</v>
      </c>
      <c r="W33" s="76">
        <v>2115926</v>
      </c>
      <c r="X33" s="76"/>
      <c r="Y33" s="76">
        <v>196426.86471611293</v>
      </c>
      <c r="AA33" s="49"/>
    </row>
    <row r="34" spans="1:27" ht="20.100000000000001" customHeight="1" x14ac:dyDescent="0.25">
      <c r="A34" s="57">
        <v>128</v>
      </c>
      <c r="B34" s="74" t="s">
        <v>136</v>
      </c>
      <c r="C34" s="59">
        <f>'MFPRSI Supplemental Info 2014'!D34</f>
        <v>3.7781370334920884E-2</v>
      </c>
      <c r="D34" s="59">
        <v>3.7049719894093142E-2</v>
      </c>
      <c r="E34" s="76">
        <f>'MFPRSI Supplemental Info 2014'!W34</f>
        <v>13695681</v>
      </c>
      <c r="F34" s="76">
        <f t="shared" si="1"/>
        <v>13430459</v>
      </c>
      <c r="G34" s="76">
        <f t="shared" si="0"/>
        <v>-265222</v>
      </c>
      <c r="H34" s="76">
        <f t="shared" si="2"/>
        <v>2954676</v>
      </c>
      <c r="I34" s="76">
        <f t="shared" si="3"/>
        <v>2954676</v>
      </c>
      <c r="J34" s="76">
        <f t="shared" si="4"/>
        <v>0</v>
      </c>
      <c r="K34" s="62">
        <f t="shared" si="8"/>
        <v>-47361</v>
      </c>
      <c r="L34" s="62">
        <f t="shared" si="6"/>
        <v>0</v>
      </c>
      <c r="M34" s="62">
        <f t="shared" si="7"/>
        <v>-217861</v>
      </c>
      <c r="O34" s="62">
        <v>467889.46417905501</v>
      </c>
      <c r="P34" s="76">
        <v>1309698.8915720175</v>
      </c>
      <c r="Q34" s="62">
        <v>2943288.5092425114</v>
      </c>
      <c r="S34" s="76">
        <v>-29746.886655488335</v>
      </c>
      <c r="T34" s="62">
        <v>0</v>
      </c>
      <c r="U34" s="76">
        <v>-4734966</v>
      </c>
      <c r="W34" s="76">
        <v>17406489</v>
      </c>
      <c r="X34" s="76"/>
      <c r="Y34" s="76">
        <v>1615890.410731287</v>
      </c>
      <c r="AA34" s="49"/>
    </row>
    <row r="35" spans="1:27" ht="20.100000000000001" customHeight="1" x14ac:dyDescent="0.25">
      <c r="A35" s="57">
        <v>129</v>
      </c>
      <c r="B35" s="74" t="s">
        <v>137</v>
      </c>
      <c r="C35" s="59">
        <f>'MFPRSI Supplemental Info 2014'!D35</f>
        <v>8.0940792250535059E-3</v>
      </c>
      <c r="D35" s="59">
        <v>8.186804432003569E-3</v>
      </c>
      <c r="E35" s="76">
        <f>'MFPRSI Supplemental Info 2014'!W35</f>
        <v>2934090</v>
      </c>
      <c r="F35" s="76">
        <f t="shared" si="1"/>
        <v>2967702</v>
      </c>
      <c r="G35" s="76">
        <f t="shared" si="0"/>
        <v>33612</v>
      </c>
      <c r="H35" s="76">
        <f t="shared" si="2"/>
        <v>652889</v>
      </c>
      <c r="I35" s="76">
        <f t="shared" si="3"/>
        <v>652889</v>
      </c>
      <c r="J35" s="76">
        <f t="shared" si="4"/>
        <v>0</v>
      </c>
      <c r="K35" s="62">
        <f t="shared" si="8"/>
        <v>6002</v>
      </c>
      <c r="L35" s="62">
        <f t="shared" si="6"/>
        <v>27610</v>
      </c>
      <c r="M35" s="62">
        <f t="shared" si="7"/>
        <v>0</v>
      </c>
      <c r="O35" s="62">
        <v>103388.62344920359</v>
      </c>
      <c r="P35" s="76">
        <v>289401.61277228466</v>
      </c>
      <c r="Q35" s="62">
        <v>650372.72835019266</v>
      </c>
      <c r="S35" s="76">
        <v>-6573.1115972157777</v>
      </c>
      <c r="T35" s="62">
        <v>0</v>
      </c>
      <c r="U35" s="76">
        <v>-1046277</v>
      </c>
      <c r="W35" s="76">
        <v>3846281</v>
      </c>
      <c r="X35" s="76"/>
      <c r="Y35" s="76">
        <v>357060.15629867348</v>
      </c>
      <c r="AA35" s="49"/>
    </row>
    <row r="36" spans="1:27" ht="20.100000000000001" customHeight="1" x14ac:dyDescent="0.25">
      <c r="A36" s="57">
        <v>130</v>
      </c>
      <c r="B36" s="78" t="s">
        <v>138</v>
      </c>
      <c r="C36" s="59">
        <f>'MFPRSI Supplemental Info 2014'!D36</f>
        <v>2.5470034033618421E-3</v>
      </c>
      <c r="D36" s="59">
        <v>2.5516200258604055E-3</v>
      </c>
      <c r="E36" s="76">
        <f>'MFPRSI Supplemental Info 2014'!W36</f>
        <v>923284</v>
      </c>
      <c r="F36" s="76">
        <f t="shared" si="1"/>
        <v>924958</v>
      </c>
      <c r="G36" s="76">
        <f t="shared" si="0"/>
        <v>1674</v>
      </c>
      <c r="H36" s="76">
        <f t="shared" si="2"/>
        <v>203489</v>
      </c>
      <c r="I36" s="76">
        <f t="shared" si="3"/>
        <v>203489</v>
      </c>
      <c r="J36" s="76">
        <f t="shared" si="4"/>
        <v>0</v>
      </c>
      <c r="K36" s="62">
        <f t="shared" si="8"/>
        <v>299</v>
      </c>
      <c r="L36" s="62">
        <f t="shared" si="6"/>
        <v>1375</v>
      </c>
      <c r="M36" s="62">
        <f t="shared" si="7"/>
        <v>0</v>
      </c>
      <c r="O36" s="62">
        <v>32223.620856003072</v>
      </c>
      <c r="P36" s="76">
        <v>90199.16828345925</v>
      </c>
      <c r="Q36" s="62">
        <v>202704.74172371163</v>
      </c>
      <c r="S36" s="76">
        <v>-2048.6727541830869</v>
      </c>
      <c r="T36" s="62">
        <v>0</v>
      </c>
      <c r="U36" s="76">
        <v>-326098</v>
      </c>
      <c r="W36" s="76">
        <v>1198788</v>
      </c>
      <c r="X36" s="76"/>
      <c r="Y36" s="76">
        <v>111286.62627959847</v>
      </c>
      <c r="AA36" s="49"/>
    </row>
    <row r="37" spans="1:27" ht="20.100000000000001" customHeight="1" x14ac:dyDescent="0.25">
      <c r="A37" s="57">
        <v>131</v>
      </c>
      <c r="B37" s="79" t="s">
        <v>139</v>
      </c>
      <c r="C37" s="59">
        <f>'MFPRSI Supplemental Info 2014'!D37</f>
        <v>3.5153135722255846E-3</v>
      </c>
      <c r="D37" s="59">
        <v>3.5285984918947454E-3</v>
      </c>
      <c r="E37" s="76">
        <f>'MFPRSI Supplemental Info 2014'!W37</f>
        <v>1274295</v>
      </c>
      <c r="F37" s="76">
        <f t="shared" si="1"/>
        <v>1279111</v>
      </c>
      <c r="G37" s="76">
        <f t="shared" si="0"/>
        <v>4816</v>
      </c>
      <c r="H37" s="76">
        <f t="shared" si="2"/>
        <v>281402</v>
      </c>
      <c r="I37" s="76">
        <f t="shared" si="3"/>
        <v>281402</v>
      </c>
      <c r="J37" s="76">
        <f t="shared" si="4"/>
        <v>0</v>
      </c>
      <c r="K37" s="62">
        <f t="shared" si="8"/>
        <v>860</v>
      </c>
      <c r="L37" s="62">
        <f t="shared" si="6"/>
        <v>3956</v>
      </c>
      <c r="M37" s="62">
        <f t="shared" si="7"/>
        <v>0</v>
      </c>
      <c r="O37" s="62">
        <v>44561.580017204746</v>
      </c>
      <c r="P37" s="76">
        <v>124735.12746783365</v>
      </c>
      <c r="Q37" s="62">
        <v>280317.4605533267</v>
      </c>
      <c r="S37" s="76">
        <v>-2833.0799717558639</v>
      </c>
      <c r="T37" s="62">
        <v>0</v>
      </c>
      <c r="U37" s="76">
        <v>-450956</v>
      </c>
      <c r="W37" s="76">
        <v>1657787</v>
      </c>
      <c r="X37" s="76"/>
      <c r="Y37" s="76">
        <v>153896.66865693757</v>
      </c>
      <c r="AA37" s="49"/>
    </row>
    <row r="38" spans="1:27" ht="20.100000000000001" customHeight="1" x14ac:dyDescent="0.25">
      <c r="A38" s="57">
        <v>132</v>
      </c>
      <c r="B38" s="78" t="s">
        <v>140</v>
      </c>
      <c r="C38" s="59">
        <f>'MFPRSI Supplemental Info 2014'!D38</f>
        <v>2.1412426908496702E-3</v>
      </c>
      <c r="D38" s="59">
        <v>2.1743861859084453E-3</v>
      </c>
      <c r="E38" s="76">
        <f>'MFPRSI Supplemental Info 2014'!W38</f>
        <v>776197</v>
      </c>
      <c r="F38" s="76">
        <f t="shared" si="1"/>
        <v>788211</v>
      </c>
      <c r="G38" s="76">
        <f t="shared" si="0"/>
        <v>12014</v>
      </c>
      <c r="H38" s="76">
        <f t="shared" si="2"/>
        <v>173405</v>
      </c>
      <c r="I38" s="76">
        <f t="shared" si="3"/>
        <v>173405</v>
      </c>
      <c r="J38" s="76">
        <f t="shared" si="4"/>
        <v>0</v>
      </c>
      <c r="K38" s="62">
        <f t="shared" si="8"/>
        <v>2145</v>
      </c>
      <c r="L38" s="62">
        <f t="shared" si="6"/>
        <v>9869</v>
      </c>
      <c r="M38" s="62">
        <f t="shared" si="7"/>
        <v>0</v>
      </c>
      <c r="O38" s="62">
        <v>27459.651256506309</v>
      </c>
      <c r="P38" s="76">
        <v>76864.040691109854</v>
      </c>
      <c r="Q38" s="62">
        <v>172736.68718505773</v>
      </c>
      <c r="S38" s="76">
        <v>-1745.7950991902176</v>
      </c>
      <c r="T38" s="62">
        <v>0</v>
      </c>
      <c r="U38" s="76">
        <v>-277886</v>
      </c>
      <c r="W38" s="76">
        <v>1021555</v>
      </c>
      <c r="X38" s="76"/>
      <c r="Y38" s="76">
        <v>94833.909597146645</v>
      </c>
      <c r="AA38" s="49"/>
    </row>
    <row r="39" spans="1:27" ht="20.100000000000001" customHeight="1" x14ac:dyDescent="0.25">
      <c r="A39" s="57">
        <v>133</v>
      </c>
      <c r="B39" s="79" t="s">
        <v>141</v>
      </c>
      <c r="C39" s="59">
        <f>'MFPRSI Supplemental Info 2014'!D39</f>
        <v>1.8394678186215749E-2</v>
      </c>
      <c r="D39" s="59">
        <v>1.8580835610573547E-2</v>
      </c>
      <c r="E39" s="76">
        <f>'MFPRSI Supplemental Info 2014'!W39</f>
        <v>6668039</v>
      </c>
      <c r="F39" s="76">
        <f t="shared" si="1"/>
        <v>6735520</v>
      </c>
      <c r="G39" s="76">
        <f t="shared" si="0"/>
        <v>67481</v>
      </c>
      <c r="H39" s="76">
        <f t="shared" si="2"/>
        <v>1481802</v>
      </c>
      <c r="I39" s="76">
        <f t="shared" si="3"/>
        <v>1481802</v>
      </c>
      <c r="J39" s="76">
        <f t="shared" si="4"/>
        <v>0</v>
      </c>
      <c r="K39" s="62">
        <f t="shared" si="8"/>
        <v>12050</v>
      </c>
      <c r="L39" s="62">
        <f t="shared" si="6"/>
        <v>55431</v>
      </c>
      <c r="M39" s="62">
        <f t="shared" si="7"/>
        <v>0</v>
      </c>
      <c r="O39" s="62">
        <v>234651.63144772965</v>
      </c>
      <c r="P39" s="76">
        <v>656828.17233740643</v>
      </c>
      <c r="Q39" s="62">
        <v>1476091.0501092409</v>
      </c>
      <c r="S39" s="76">
        <v>-14918.385684209006</v>
      </c>
      <c r="T39" s="62">
        <v>0</v>
      </c>
      <c r="U39" s="76">
        <v>-2374636</v>
      </c>
      <c r="W39" s="76">
        <v>8729540</v>
      </c>
      <c r="X39" s="76"/>
      <c r="Y39" s="76">
        <v>810386.5338881294</v>
      </c>
      <c r="AA39" s="49"/>
    </row>
    <row r="40" spans="1:27" ht="20.100000000000001" customHeight="1" x14ac:dyDescent="0.25">
      <c r="A40" s="57">
        <v>134</v>
      </c>
      <c r="B40" s="78" t="s">
        <v>142</v>
      </c>
      <c r="C40" s="59">
        <f>'MFPRSI Supplemental Info 2014'!D40</f>
        <v>1.5610552003226806E-2</v>
      </c>
      <c r="D40" s="59">
        <v>1.5159812212181921E-2</v>
      </c>
      <c r="E40" s="76">
        <f>'MFPRSI Supplemental Info 2014'!W40</f>
        <v>5658798</v>
      </c>
      <c r="F40" s="76">
        <f t="shared" si="1"/>
        <v>5495405</v>
      </c>
      <c r="G40" s="76">
        <f t="shared" si="0"/>
        <v>-163393</v>
      </c>
      <c r="H40" s="76">
        <f t="shared" si="2"/>
        <v>1208979</v>
      </c>
      <c r="I40" s="76">
        <f t="shared" si="3"/>
        <v>1208979</v>
      </c>
      <c r="J40" s="76">
        <f t="shared" si="4"/>
        <v>0</v>
      </c>
      <c r="K40" s="62">
        <f t="shared" si="8"/>
        <v>-29177</v>
      </c>
      <c r="L40" s="62">
        <f t="shared" si="6"/>
        <v>0</v>
      </c>
      <c r="M40" s="62">
        <f t="shared" si="7"/>
        <v>-134216</v>
      </c>
      <c r="O40" s="62">
        <v>191448.58404567192</v>
      </c>
      <c r="P40" s="76">
        <v>535895.79914476105</v>
      </c>
      <c r="Q40" s="62">
        <v>1204319.5255979004</v>
      </c>
      <c r="S40" s="76">
        <v>-12171.676786850954</v>
      </c>
      <c r="T40" s="62">
        <v>0</v>
      </c>
      <c r="U40" s="76">
        <v>-1937429</v>
      </c>
      <c r="W40" s="76">
        <v>7122296</v>
      </c>
      <c r="X40" s="76"/>
      <c r="Y40" s="76">
        <v>661181.6567621968</v>
      </c>
      <c r="AA40" s="49"/>
    </row>
    <row r="41" spans="1:27" ht="20.100000000000001" customHeight="1" x14ac:dyDescent="0.25">
      <c r="A41" s="57">
        <v>135</v>
      </c>
      <c r="B41" s="79" t="s">
        <v>143</v>
      </c>
      <c r="C41" s="59">
        <f>'MFPRSI Supplemental Info 2014'!D41</f>
        <v>2.0054860770485287E-2</v>
      </c>
      <c r="D41" s="59">
        <v>2.0837454861313963E-2</v>
      </c>
      <c r="E41" s="76">
        <f>'MFPRSI Supplemental Info 2014'!W41</f>
        <v>7269852</v>
      </c>
      <c r="F41" s="76">
        <f t="shared" si="1"/>
        <v>7553541</v>
      </c>
      <c r="G41" s="76">
        <f t="shared" si="0"/>
        <v>283689</v>
      </c>
      <c r="H41" s="76">
        <f t="shared" si="2"/>
        <v>1661765</v>
      </c>
      <c r="I41" s="76">
        <f t="shared" si="3"/>
        <v>1661765</v>
      </c>
      <c r="J41" s="76">
        <f t="shared" si="4"/>
        <v>0</v>
      </c>
      <c r="K41" s="62">
        <f t="shared" si="8"/>
        <v>50659</v>
      </c>
      <c r="L41" s="62">
        <f t="shared" si="6"/>
        <v>233030</v>
      </c>
      <c r="M41" s="62">
        <f t="shared" si="7"/>
        <v>0</v>
      </c>
      <c r="O41" s="62">
        <v>263149.77866998187</v>
      </c>
      <c r="P41" s="76">
        <v>736599.13254555617</v>
      </c>
      <c r="Q41" s="62">
        <v>1655360.4623861914</v>
      </c>
      <c r="S41" s="76">
        <v>-16730.204971055227</v>
      </c>
      <c r="T41" s="62">
        <v>0</v>
      </c>
      <c r="U41" s="76">
        <v>-2663034</v>
      </c>
      <c r="W41" s="76">
        <v>9789737</v>
      </c>
      <c r="X41" s="76"/>
      <c r="Y41" s="76">
        <v>908806.96509156248</v>
      </c>
      <c r="AA41" s="49"/>
    </row>
    <row r="42" spans="1:27" ht="20.100000000000001" customHeight="1" x14ac:dyDescent="0.25">
      <c r="A42" s="57">
        <v>136</v>
      </c>
      <c r="B42" s="79" t="s">
        <v>144</v>
      </c>
      <c r="C42" s="59">
        <f>'MFPRSI Supplemental Info 2014'!D42</f>
        <v>1.7550385557971553E-2</v>
      </c>
      <c r="D42" s="59">
        <v>1.7595894656559901E-2</v>
      </c>
      <c r="E42" s="76">
        <f>'MFPRSI Supplemental Info 2014'!W42</f>
        <v>6361984</v>
      </c>
      <c r="F42" s="76">
        <f t="shared" si="1"/>
        <v>6378481</v>
      </c>
      <c r="G42" s="76">
        <f t="shared" si="0"/>
        <v>16497</v>
      </c>
      <c r="H42" s="76">
        <f t="shared" si="2"/>
        <v>1403254</v>
      </c>
      <c r="I42" s="76">
        <f t="shared" si="3"/>
        <v>1403254</v>
      </c>
      <c r="J42" s="76">
        <f t="shared" si="4"/>
        <v>0</v>
      </c>
      <c r="K42" s="62">
        <f t="shared" si="8"/>
        <v>2946</v>
      </c>
      <c r="L42" s="62">
        <f t="shared" si="6"/>
        <v>13551</v>
      </c>
      <c r="M42" s="62">
        <f t="shared" si="7"/>
        <v>0</v>
      </c>
      <c r="O42" s="62">
        <v>222213.11648624612</v>
      </c>
      <c r="P42" s="76">
        <v>622010.74107414822</v>
      </c>
      <c r="Q42" s="62">
        <v>1397845.7786060439</v>
      </c>
      <c r="S42" s="76">
        <v>-14127.585456700035</v>
      </c>
      <c r="T42" s="62">
        <v>0</v>
      </c>
      <c r="U42" s="76">
        <v>-2248760</v>
      </c>
      <c r="W42" s="76">
        <v>8266801</v>
      </c>
      <c r="X42" s="76"/>
      <c r="Y42" s="76">
        <v>767429.21471603715</v>
      </c>
      <c r="AA42" s="49"/>
    </row>
    <row r="43" spans="1:27" ht="20.100000000000001" customHeight="1" x14ac:dyDescent="0.25">
      <c r="A43" s="57">
        <v>137</v>
      </c>
      <c r="B43" s="79" t="s">
        <v>145</v>
      </c>
      <c r="C43" s="59">
        <f>'MFPRSI Supplemental Info 2014'!D43</f>
        <v>1.0652561755950604E-2</v>
      </c>
      <c r="D43" s="59">
        <v>1.0909436128827438E-2</v>
      </c>
      <c r="E43" s="76">
        <f>'MFPRSI Supplemental Info 2014'!W43</f>
        <v>3861535</v>
      </c>
      <c r="F43" s="76">
        <f t="shared" si="1"/>
        <v>3954652</v>
      </c>
      <c r="G43" s="76">
        <f t="shared" si="0"/>
        <v>93117</v>
      </c>
      <c r="H43" s="76">
        <f t="shared" si="2"/>
        <v>870016</v>
      </c>
      <c r="I43" s="76">
        <f t="shared" si="3"/>
        <v>870016</v>
      </c>
      <c r="J43" s="76">
        <f t="shared" si="4"/>
        <v>0</v>
      </c>
      <c r="K43" s="62">
        <f>ROUND((G43+J43)/5.6,0)</f>
        <v>16628</v>
      </c>
      <c r="L43" s="62">
        <f t="shared" si="6"/>
        <v>76489</v>
      </c>
      <c r="M43" s="62">
        <f t="shared" si="7"/>
        <v>0</v>
      </c>
      <c r="O43" s="62">
        <v>137771.89785519789</v>
      </c>
      <c r="P43" s="76">
        <v>385646.00343655964</v>
      </c>
      <c r="Q43" s="62">
        <v>866662.90843975195</v>
      </c>
      <c r="S43" s="76">
        <v>-8759.0880829103899</v>
      </c>
      <c r="T43" s="62">
        <v>0</v>
      </c>
      <c r="U43" s="76">
        <v>-1394229</v>
      </c>
      <c r="W43" s="76">
        <v>5125407</v>
      </c>
      <c r="X43" s="76"/>
      <c r="Y43" s="76">
        <v>475805.30372290954</v>
      </c>
      <c r="AA43" s="49"/>
    </row>
    <row r="44" spans="1:27" ht="20.100000000000001" customHeight="1" x14ac:dyDescent="0.25">
      <c r="A44" s="57">
        <v>138</v>
      </c>
      <c r="B44" s="79" t="s">
        <v>146</v>
      </c>
      <c r="C44" s="59">
        <f>'MFPRSI Supplemental Info 2014'!D44</f>
        <v>2.3467098673224606E-3</v>
      </c>
      <c r="D44" s="59">
        <v>2.3002812714395474E-3</v>
      </c>
      <c r="E44" s="76">
        <f>'MFPRSI Supplemental Info 2014'!W44</f>
        <v>850678</v>
      </c>
      <c r="F44" s="76">
        <f t="shared" si="1"/>
        <v>833848</v>
      </c>
      <c r="G44" s="76">
        <f t="shared" si="0"/>
        <v>-16830</v>
      </c>
      <c r="H44" s="76">
        <f t="shared" si="2"/>
        <v>183445</v>
      </c>
      <c r="I44" s="76">
        <f t="shared" si="3"/>
        <v>183445</v>
      </c>
      <c r="J44" s="76">
        <f t="shared" si="4"/>
        <v>0</v>
      </c>
      <c r="K44" s="62">
        <f t="shared" si="8"/>
        <v>-3005</v>
      </c>
      <c r="L44" s="62">
        <f t="shared" si="6"/>
        <v>0</v>
      </c>
      <c r="M44" s="62">
        <f t="shared" si="7"/>
        <v>-13825</v>
      </c>
      <c r="O44" s="62">
        <v>29049.541390097169</v>
      </c>
      <c r="P44" s="76">
        <v>81314.402379289211</v>
      </c>
      <c r="Q44" s="62">
        <v>182737.99244925415</v>
      </c>
      <c r="S44" s="76">
        <v>-1846.8751303073698</v>
      </c>
      <c r="T44" s="62">
        <v>0</v>
      </c>
      <c r="U44" s="76">
        <v>-293977</v>
      </c>
      <c r="W44" s="76">
        <v>1080705</v>
      </c>
      <c r="X44" s="76"/>
      <c r="Y44" s="76">
        <v>100324.7112023792</v>
      </c>
      <c r="AA44" s="49"/>
    </row>
    <row r="45" spans="1:27" ht="20.100000000000001" customHeight="1" x14ac:dyDescent="0.25">
      <c r="A45" s="57">
        <v>139</v>
      </c>
      <c r="B45" s="78" t="s">
        <v>147</v>
      </c>
      <c r="C45" s="59">
        <f>'MFPRSI Supplemental Info 2014'!D45</f>
        <v>4.8796202452608475E-3</v>
      </c>
      <c r="D45" s="59">
        <v>4.907776646017741E-3</v>
      </c>
      <c r="E45" s="76">
        <f>'MFPRSI Supplemental Info 2014'!W45</f>
        <v>1768854</v>
      </c>
      <c r="F45" s="76">
        <f t="shared" si="1"/>
        <v>1779060</v>
      </c>
      <c r="G45" s="76">
        <f t="shared" si="0"/>
        <v>10206</v>
      </c>
      <c r="H45" s="76">
        <f t="shared" si="2"/>
        <v>391390</v>
      </c>
      <c r="I45" s="76">
        <f t="shared" si="3"/>
        <v>391390</v>
      </c>
      <c r="J45" s="76">
        <f t="shared" si="4"/>
        <v>0</v>
      </c>
      <c r="K45" s="62">
        <f t="shared" si="8"/>
        <v>1823</v>
      </c>
      <c r="L45" s="62">
        <f t="shared" si="6"/>
        <v>8383</v>
      </c>
      <c r="M45" s="62">
        <f t="shared" si="7"/>
        <v>0</v>
      </c>
      <c r="O45" s="62">
        <v>61978.794759574434</v>
      </c>
      <c r="P45" s="76">
        <v>173488.75110921534</v>
      </c>
      <c r="Q45" s="62">
        <v>389881.56049340992</v>
      </c>
      <c r="S45" s="76">
        <v>-3940.4096990978301</v>
      </c>
      <c r="T45" s="62">
        <v>0</v>
      </c>
      <c r="U45" s="76">
        <v>-627216</v>
      </c>
      <c r="W45" s="76">
        <v>2305745</v>
      </c>
      <c r="X45" s="76"/>
      <c r="Y45" s="76">
        <v>214048.29086374224</v>
      </c>
      <c r="AA45" s="49"/>
    </row>
    <row r="46" spans="1:27" ht="20.100000000000001" customHeight="1" x14ac:dyDescent="0.25">
      <c r="A46" s="57">
        <v>140</v>
      </c>
      <c r="B46" s="79" t="s">
        <v>148</v>
      </c>
      <c r="C46" s="59">
        <f>'MFPRSI Supplemental Info 2014'!D46</f>
        <v>1.4834069085115394E-2</v>
      </c>
      <c r="D46" s="59">
        <v>1.459245673011616E-2</v>
      </c>
      <c r="E46" s="76">
        <f>'MFPRSI Supplemental Info 2014'!W46</f>
        <v>5377325</v>
      </c>
      <c r="F46" s="76">
        <f t="shared" si="1"/>
        <v>5289740</v>
      </c>
      <c r="G46" s="76">
        <f t="shared" si="0"/>
        <v>-87585</v>
      </c>
      <c r="H46" s="76">
        <f t="shared" si="2"/>
        <v>1163733</v>
      </c>
      <c r="I46" s="76">
        <f t="shared" si="3"/>
        <v>1163733</v>
      </c>
      <c r="J46" s="76">
        <f t="shared" si="4"/>
        <v>0</v>
      </c>
      <c r="K46" s="62">
        <f t="shared" si="8"/>
        <v>-15640</v>
      </c>
      <c r="L46" s="62">
        <f t="shared" si="6"/>
        <v>0</v>
      </c>
      <c r="M46" s="62">
        <f t="shared" si="7"/>
        <v>-71945</v>
      </c>
      <c r="O46" s="62">
        <v>184283.62697550739</v>
      </c>
      <c r="P46" s="76">
        <v>515839.9161822747</v>
      </c>
      <c r="Q46" s="62">
        <v>1159247.9062768018</v>
      </c>
      <c r="S46" s="76">
        <v>-11716.152176499694</v>
      </c>
      <c r="T46" s="62">
        <v>0</v>
      </c>
      <c r="U46" s="76">
        <v>-1864921</v>
      </c>
      <c r="W46" s="76">
        <v>6855747</v>
      </c>
      <c r="X46" s="76"/>
      <c r="Y46" s="76">
        <v>636436.95462769957</v>
      </c>
      <c r="AA46" s="49"/>
    </row>
    <row r="47" spans="1:27" ht="20.100000000000001" customHeight="1" x14ac:dyDescent="0.25">
      <c r="A47" s="57">
        <v>141</v>
      </c>
      <c r="B47" s="80" t="s">
        <v>149</v>
      </c>
      <c r="C47" s="59">
        <f>'MFPRSI Supplemental Info 2014'!D47</f>
        <v>3.0993608241631594E-3</v>
      </c>
      <c r="D47" s="59">
        <v>3.2883821419426211E-3</v>
      </c>
      <c r="E47" s="76">
        <f>'MFPRSI Supplemental Info 2014'!W47</f>
        <v>1123513</v>
      </c>
      <c r="F47" s="76">
        <f t="shared" si="1"/>
        <v>1192033</v>
      </c>
      <c r="G47" s="76">
        <f t="shared" si="0"/>
        <v>68520</v>
      </c>
      <c r="H47" s="76">
        <f t="shared" si="2"/>
        <v>262245</v>
      </c>
      <c r="I47" s="76">
        <f t="shared" si="3"/>
        <v>262245</v>
      </c>
      <c r="J47" s="76">
        <f t="shared" si="4"/>
        <v>0</v>
      </c>
      <c r="K47" s="62">
        <f t="shared" si="8"/>
        <v>12236</v>
      </c>
      <c r="L47" s="62">
        <f t="shared" si="6"/>
        <v>56284</v>
      </c>
      <c r="M47" s="62">
        <f t="shared" si="7"/>
        <v>0</v>
      </c>
      <c r="O47" s="62">
        <v>41527.9619605115</v>
      </c>
      <c r="P47" s="76">
        <v>116243.53594786829</v>
      </c>
      <c r="Q47" s="62">
        <v>261234.29272999894</v>
      </c>
      <c r="S47" s="76">
        <v>-2640.2124263264532</v>
      </c>
      <c r="T47" s="62">
        <v>0</v>
      </c>
      <c r="U47" s="76">
        <v>-420256</v>
      </c>
      <c r="W47" s="76">
        <v>1544928</v>
      </c>
      <c r="X47" s="76"/>
      <c r="Y47" s="76">
        <v>143419.84730719251</v>
      </c>
      <c r="AA47" s="49"/>
    </row>
    <row r="48" spans="1:27" ht="20.100000000000001" customHeight="1" x14ac:dyDescent="0.25">
      <c r="A48" s="57">
        <v>142</v>
      </c>
      <c r="B48" s="74" t="s">
        <v>150</v>
      </c>
      <c r="C48" s="59">
        <f>'MFPRSI Supplemental Info 2014'!D48</f>
        <v>6.4715840660402313E-2</v>
      </c>
      <c r="D48" s="59">
        <v>6.3433605634121065E-2</v>
      </c>
      <c r="E48" s="76">
        <f>'MFPRSI Supplemental Info 2014'!W48</f>
        <v>23459379</v>
      </c>
      <c r="F48" s="76">
        <f t="shared" si="1"/>
        <v>22994571</v>
      </c>
      <c r="G48" s="76">
        <f t="shared" si="0"/>
        <v>-464808</v>
      </c>
      <c r="H48" s="76">
        <f t="shared" si="2"/>
        <v>5058763</v>
      </c>
      <c r="I48" s="76">
        <f t="shared" si="3"/>
        <v>5058763</v>
      </c>
      <c r="J48" s="76">
        <f t="shared" si="4"/>
        <v>0</v>
      </c>
      <c r="K48" s="62">
        <f t="shared" si="8"/>
        <v>-83001</v>
      </c>
      <c r="L48" s="62">
        <f t="shared" si="6"/>
        <v>0</v>
      </c>
      <c r="M48" s="62">
        <f t="shared" si="7"/>
        <v>-381807</v>
      </c>
      <c r="O48" s="62">
        <v>801083.40456917405</v>
      </c>
      <c r="P48" s="76">
        <v>2242363.0522688557</v>
      </c>
      <c r="Q48" s="62">
        <v>5039266.2372731129</v>
      </c>
      <c r="S48" s="76">
        <v>-50930.271061185093</v>
      </c>
      <c r="T48" s="62">
        <v>0</v>
      </c>
      <c r="U48" s="76">
        <v>-8106835</v>
      </c>
      <c r="W48" s="76">
        <v>29802019</v>
      </c>
      <c r="X48" s="76"/>
      <c r="Y48" s="76">
        <v>2766600.0000887532</v>
      </c>
      <c r="AA48" s="49"/>
    </row>
    <row r="49" spans="1:27" ht="20.100000000000001" customHeight="1" x14ac:dyDescent="0.25">
      <c r="A49" s="57">
        <v>143</v>
      </c>
      <c r="B49" s="74" t="s">
        <v>151</v>
      </c>
      <c r="C49" s="59">
        <f>'MFPRSI Supplemental Info 2014'!D49</f>
        <v>5.0431459137678953E-3</v>
      </c>
      <c r="D49" s="59">
        <v>4.9503226644646561E-3</v>
      </c>
      <c r="E49" s="76">
        <f>'MFPRSI Supplemental Info 2014'!W49</f>
        <v>1828132</v>
      </c>
      <c r="F49" s="76">
        <f t="shared" si="1"/>
        <v>1794483</v>
      </c>
      <c r="G49" s="76">
        <f t="shared" si="0"/>
        <v>-33649</v>
      </c>
      <c r="H49" s="76">
        <f t="shared" si="2"/>
        <v>394783</v>
      </c>
      <c r="I49" s="76">
        <f t="shared" si="3"/>
        <v>394783</v>
      </c>
      <c r="J49" s="76">
        <f t="shared" si="4"/>
        <v>0</v>
      </c>
      <c r="K49" s="62">
        <f t="shared" si="8"/>
        <v>-6009</v>
      </c>
      <c r="L49" s="62">
        <f t="shared" si="6"/>
        <v>0</v>
      </c>
      <c r="M49" s="62">
        <f t="shared" si="7"/>
        <v>-27640</v>
      </c>
      <c r="O49" s="62">
        <v>62516.095279820824</v>
      </c>
      <c r="P49" s="76">
        <v>174992.74286299944</v>
      </c>
      <c r="Q49" s="62">
        <v>393261.48367681814</v>
      </c>
      <c r="S49" s="76">
        <v>-3974.5695143946923</v>
      </c>
      <c r="T49" s="62">
        <v>0</v>
      </c>
      <c r="U49" s="76">
        <v>-632652</v>
      </c>
      <c r="W49" s="76">
        <v>2325731</v>
      </c>
      <c r="X49" s="76"/>
      <c r="Y49" s="76">
        <v>215903.89742216395</v>
      </c>
      <c r="AA49" s="49"/>
    </row>
    <row r="50" spans="1:27" ht="20.100000000000001" customHeight="1" x14ac:dyDescent="0.25">
      <c r="A50" s="57">
        <v>144</v>
      </c>
      <c r="B50" s="74" t="s">
        <v>152</v>
      </c>
      <c r="C50" s="59">
        <f>'MFPRSI Supplemental Info 2014'!D50</f>
        <v>3.744975550767104E-3</v>
      </c>
      <c r="D50" s="59">
        <v>3.7970409212821792E-3</v>
      </c>
      <c r="E50" s="76">
        <f>'MFPRSI Supplemental Info 2014'!W50</f>
        <v>1357547</v>
      </c>
      <c r="F50" s="76">
        <f t="shared" si="1"/>
        <v>1376421</v>
      </c>
      <c r="G50" s="76">
        <f t="shared" si="0"/>
        <v>18874</v>
      </c>
      <c r="H50" s="76">
        <f t="shared" si="2"/>
        <v>302810</v>
      </c>
      <c r="I50" s="76">
        <f t="shared" si="3"/>
        <v>302810</v>
      </c>
      <c r="J50" s="76">
        <f t="shared" si="4"/>
        <v>0</v>
      </c>
      <c r="K50" s="62">
        <f t="shared" si="8"/>
        <v>3370</v>
      </c>
      <c r="L50" s="62">
        <f t="shared" si="6"/>
        <v>15504</v>
      </c>
      <c r="M50" s="62">
        <f t="shared" si="7"/>
        <v>0</v>
      </c>
      <c r="O50" s="62">
        <v>47951.656509227963</v>
      </c>
      <c r="P50" s="76">
        <v>134224.50426270853</v>
      </c>
      <c r="Q50" s="62">
        <v>301642.95289355749</v>
      </c>
      <c r="S50" s="76">
        <v>-3048.6099823291702</v>
      </c>
      <c r="T50" s="62">
        <v>0</v>
      </c>
      <c r="U50" s="76">
        <v>-485263</v>
      </c>
      <c r="W50" s="76">
        <v>1783904</v>
      </c>
      <c r="X50" s="76"/>
      <c r="Y50" s="76">
        <v>165604.54522713862</v>
      </c>
      <c r="AA50" s="49"/>
    </row>
    <row r="51" spans="1:27" ht="20.100000000000001" customHeight="1" x14ac:dyDescent="0.25">
      <c r="A51" s="57">
        <v>145</v>
      </c>
      <c r="B51" s="74" t="s">
        <v>153</v>
      </c>
      <c r="C51" s="59">
        <f>'MFPRSI Supplemental Info 2014'!D51</f>
        <v>1.8092471515386233E-2</v>
      </c>
      <c r="D51" s="59">
        <v>1.8926532982386991E-2</v>
      </c>
      <c r="E51" s="76">
        <f>'MFPRSI Supplemental Info 2014'!W51</f>
        <v>6558490</v>
      </c>
      <c r="F51" s="76">
        <f t="shared" si="1"/>
        <v>6860835</v>
      </c>
      <c r="G51" s="76">
        <f t="shared" si="0"/>
        <v>302345</v>
      </c>
      <c r="H51" s="76">
        <f t="shared" si="2"/>
        <v>1509371</v>
      </c>
      <c r="I51" s="76">
        <f t="shared" si="3"/>
        <v>1509371</v>
      </c>
      <c r="J51" s="76">
        <f t="shared" si="4"/>
        <v>0</v>
      </c>
      <c r="K51" s="62">
        <f t="shared" si="8"/>
        <v>53990</v>
      </c>
      <c r="L51" s="62">
        <f t="shared" si="6"/>
        <v>248355</v>
      </c>
      <c r="M51" s="62">
        <f t="shared" si="7"/>
        <v>0</v>
      </c>
      <c r="O51" s="62">
        <v>239017.33673587375</v>
      </c>
      <c r="P51" s="76">
        <v>669048.4931921293</v>
      </c>
      <c r="Q51" s="62">
        <v>1503553.7976021327</v>
      </c>
      <c r="S51" s="76">
        <v>-15195.942992761673</v>
      </c>
      <c r="T51" s="62">
        <v>0</v>
      </c>
      <c r="U51" s="76">
        <v>-2418817</v>
      </c>
      <c r="W51" s="76">
        <v>8891955</v>
      </c>
      <c r="X51" s="76"/>
      <c r="Y51" s="76">
        <v>825463.81570632232</v>
      </c>
      <c r="AA51" s="49"/>
    </row>
    <row r="52" spans="1:27" ht="20.100000000000001" customHeight="1" x14ac:dyDescent="0.25">
      <c r="A52" s="57">
        <v>146</v>
      </c>
      <c r="B52" s="74" t="s">
        <v>154</v>
      </c>
      <c r="C52" s="59">
        <f>'MFPRSI Supplemental Info 2014'!D52</f>
        <v>5.7205204023024966E-2</v>
      </c>
      <c r="D52" s="59">
        <v>5.7245348066870302E-2</v>
      </c>
      <c r="E52" s="76">
        <f>'MFPRSI Supplemental Info 2014'!W52</f>
        <v>20736787</v>
      </c>
      <c r="F52" s="76">
        <f t="shared" si="1"/>
        <v>20751339</v>
      </c>
      <c r="G52" s="76">
        <f t="shared" si="0"/>
        <v>14552</v>
      </c>
      <c r="H52" s="76">
        <f t="shared" si="2"/>
        <v>4565256</v>
      </c>
      <c r="I52" s="76">
        <f t="shared" si="3"/>
        <v>4565256</v>
      </c>
      <c r="J52" s="76">
        <f t="shared" si="4"/>
        <v>0</v>
      </c>
      <c r="K52" s="62">
        <f t="shared" si="8"/>
        <v>2599</v>
      </c>
      <c r="L52" s="62">
        <f t="shared" si="6"/>
        <v>11953</v>
      </c>
      <c r="M52" s="62">
        <f t="shared" si="7"/>
        <v>0</v>
      </c>
      <c r="O52" s="62">
        <v>722933.81192395242</v>
      </c>
      <c r="P52" s="76">
        <v>2023609.6015070695</v>
      </c>
      <c r="Q52" s="62">
        <v>4547661.2415542109</v>
      </c>
      <c r="S52" s="76">
        <v>-45961.774754757564</v>
      </c>
      <c r="T52" s="62">
        <v>0</v>
      </c>
      <c r="U52" s="76">
        <v>-7315974</v>
      </c>
      <c r="W52" s="76">
        <v>26894686</v>
      </c>
      <c r="X52" s="76"/>
      <c r="Y52" s="76">
        <v>2496704.6785953767</v>
      </c>
      <c r="AA52" s="49"/>
    </row>
    <row r="53" spans="1:27" ht="20.100000000000001" customHeight="1" x14ac:dyDescent="0.25">
      <c r="A53" s="57">
        <v>147</v>
      </c>
      <c r="B53" s="74" t="s">
        <v>155</v>
      </c>
      <c r="C53" s="59">
        <f>'MFPRSI Supplemental Info 2014'!D53</f>
        <v>3.6468695365889934E-3</v>
      </c>
      <c r="D53" s="59">
        <v>3.6046872746639414E-3</v>
      </c>
      <c r="E53" s="76">
        <f>'MFPRSI Supplemental Info 2014'!W53</f>
        <v>1321984</v>
      </c>
      <c r="F53" s="76">
        <f t="shared" si="1"/>
        <v>1306693</v>
      </c>
      <c r="G53" s="76">
        <f t="shared" si="0"/>
        <v>-15291</v>
      </c>
      <c r="H53" s="76">
        <f t="shared" si="2"/>
        <v>287470</v>
      </c>
      <c r="I53" s="76">
        <f t="shared" si="3"/>
        <v>287470</v>
      </c>
      <c r="J53" s="76">
        <f t="shared" si="4"/>
        <v>0</v>
      </c>
      <c r="K53" s="62">
        <f t="shared" si="8"/>
        <v>-2731</v>
      </c>
      <c r="L53" s="62">
        <f t="shared" si="6"/>
        <v>0</v>
      </c>
      <c r="M53" s="62">
        <f t="shared" si="7"/>
        <v>-12560</v>
      </c>
      <c r="O53" s="62">
        <v>45522.481743363045</v>
      </c>
      <c r="P53" s="76">
        <v>127424.84805786079</v>
      </c>
      <c r="Q53" s="62">
        <v>286362.07413332112</v>
      </c>
      <c r="S53" s="76">
        <v>-2894.1709706422066</v>
      </c>
      <c r="T53" s="62">
        <v>0</v>
      </c>
      <c r="U53" s="76">
        <v>-460681</v>
      </c>
      <c r="W53" s="76">
        <v>1693535</v>
      </c>
      <c r="X53" s="76"/>
      <c r="Y53" s="76">
        <v>157215.21289404426</v>
      </c>
      <c r="AA53" s="49"/>
    </row>
    <row r="54" spans="1:27" ht="20.100000000000001" customHeight="1" x14ac:dyDescent="0.25">
      <c r="A54" s="57">
        <v>148</v>
      </c>
      <c r="B54" s="74" t="s">
        <v>156</v>
      </c>
      <c r="C54" s="59">
        <f>'MFPRSI Supplemental Info 2014'!D54</f>
        <v>3.1191221088193092E-3</v>
      </c>
      <c r="D54" s="59">
        <v>2.8125764626121754E-3</v>
      </c>
      <c r="E54" s="76">
        <f>'MFPRSI Supplemental Info 2014'!W54</f>
        <v>1130677</v>
      </c>
      <c r="F54" s="76">
        <f t="shared" si="1"/>
        <v>1019554</v>
      </c>
      <c r="G54" s="76">
        <f t="shared" si="0"/>
        <v>-111123</v>
      </c>
      <c r="H54" s="76">
        <f t="shared" si="2"/>
        <v>224300</v>
      </c>
      <c r="I54" s="76">
        <f t="shared" si="3"/>
        <v>224300</v>
      </c>
      <c r="J54" s="76">
        <f t="shared" si="4"/>
        <v>0</v>
      </c>
      <c r="K54" s="62">
        <f t="shared" si="8"/>
        <v>-19843</v>
      </c>
      <c r="L54" s="62">
        <f t="shared" si="6"/>
        <v>0</v>
      </c>
      <c r="M54" s="62">
        <f t="shared" si="7"/>
        <v>-91280</v>
      </c>
      <c r="O54" s="62">
        <v>35519.159060202219</v>
      </c>
      <c r="P54" s="76">
        <v>99423.916997871682</v>
      </c>
      <c r="Q54" s="62">
        <v>223435.53493618092</v>
      </c>
      <c r="S54" s="76">
        <v>-2258.192328643152</v>
      </c>
      <c r="T54" s="62">
        <v>0</v>
      </c>
      <c r="U54" s="76">
        <v>-359449</v>
      </c>
      <c r="W54" s="76">
        <v>1321390</v>
      </c>
      <c r="X54" s="76"/>
      <c r="Y54" s="76">
        <v>122668.00797347246</v>
      </c>
      <c r="AA54" s="49"/>
    </row>
    <row r="55" spans="1:27" ht="19.5" customHeight="1" x14ac:dyDescent="0.25">
      <c r="A55" s="57">
        <v>149</v>
      </c>
      <c r="B55" s="74" t="s">
        <v>157</v>
      </c>
      <c r="C55" s="59">
        <f>'MFPRSI Supplemental Info 2014'!D55</f>
        <v>3.1260783626260578E-2</v>
      </c>
      <c r="D55" s="59">
        <v>3.1567440335854985E-2</v>
      </c>
      <c r="E55" s="76">
        <f>'MFPRSI Supplemental Info 2014'!W55</f>
        <v>11331979</v>
      </c>
      <c r="F55" s="76">
        <f t="shared" si="1"/>
        <v>11443142</v>
      </c>
      <c r="G55" s="76">
        <f t="shared" si="0"/>
        <v>111163</v>
      </c>
      <c r="H55" s="76">
        <f t="shared" si="2"/>
        <v>2517470</v>
      </c>
      <c r="I55" s="76">
        <f t="shared" si="3"/>
        <v>2517470</v>
      </c>
      <c r="J55" s="76">
        <f t="shared" si="4"/>
        <v>0</v>
      </c>
      <c r="K55" s="62">
        <f t="shared" si="8"/>
        <v>19851</v>
      </c>
      <c r="L55" s="62">
        <f t="shared" si="6"/>
        <v>91312</v>
      </c>
      <c r="M55" s="62">
        <f t="shared" si="7"/>
        <v>0</v>
      </c>
      <c r="O55" s="62">
        <v>398655.44966244884</v>
      </c>
      <c r="P55" s="76">
        <v>1115901.5975239947</v>
      </c>
      <c r="Q55" s="62">
        <v>2507767.5262406925</v>
      </c>
      <c r="S55" s="76">
        <v>-25345.213738694943</v>
      </c>
      <c r="T55" s="62">
        <v>0</v>
      </c>
      <c r="U55" s="76">
        <v>-4034329</v>
      </c>
      <c r="W55" s="76">
        <v>14830836</v>
      </c>
      <c r="X55" s="76"/>
      <c r="Y55" s="76">
        <v>1376785.6889566549</v>
      </c>
      <c r="AA55" s="49"/>
    </row>
    <row r="56" spans="1:27" x14ac:dyDescent="0.25">
      <c r="E56" s="75"/>
      <c r="U56" s="76"/>
      <c r="W56" s="62"/>
      <c r="X56" s="62"/>
      <c r="Y56" s="76"/>
    </row>
    <row r="57" spans="1:27" x14ac:dyDescent="0.25">
      <c r="C57" s="81">
        <f t="shared" ref="C57:I57" si="9">SUM(C7:C56)</f>
        <v>1</v>
      </c>
      <c r="D57" s="81">
        <f t="shared" si="9"/>
        <v>0.99999999999999967</v>
      </c>
      <c r="E57" s="76">
        <f>SUM(E7:E56)+E61</f>
        <v>362498253</v>
      </c>
      <c r="F57" s="76">
        <f>SUM(F7:F56)+F61</f>
        <v>362498253</v>
      </c>
      <c r="H57" s="75">
        <f t="shared" si="9"/>
        <v>79748943</v>
      </c>
      <c r="I57" s="75">
        <f t="shared" si="9"/>
        <v>79748943</v>
      </c>
      <c r="J57" s="60">
        <f>SUM(J7:J56)</f>
        <v>0</v>
      </c>
      <c r="K57" s="60"/>
      <c r="L57" s="76">
        <f t="shared" ref="L57" si="10">SUM(L7:L56)</f>
        <v>2261093</v>
      </c>
      <c r="M57" s="76">
        <f>SUM(M7:M56)</f>
        <v>-2261096</v>
      </c>
      <c r="O57" s="76">
        <f>SUM(O7:O56)</f>
        <v>12628691</v>
      </c>
      <c r="P57" s="76">
        <f>SUM(P7:P56)</f>
        <v>35349764.999999993</v>
      </c>
      <c r="Q57" s="76">
        <f>SUM(Q7:Q56)</f>
        <v>79441585.999999985</v>
      </c>
      <c r="S57" s="76">
        <f>SUM(S7:S56)</f>
        <v>-802891</v>
      </c>
      <c r="T57" s="76">
        <f>SUM(T7:T56)</f>
        <v>0</v>
      </c>
      <c r="U57" s="76">
        <f>SUM(U7:U56)+U61</f>
        <v>-127800316</v>
      </c>
      <c r="V57" s="76"/>
      <c r="W57" s="76">
        <f>SUM(W7:W56)+W61</f>
        <v>469814329</v>
      </c>
      <c r="X57" s="76"/>
      <c r="Y57" s="76">
        <f>SUM(Y7:Y56)+Y61</f>
        <v>43614106.000000007</v>
      </c>
    </row>
    <row r="58" spans="1:27" x14ac:dyDescent="0.25">
      <c r="C58" s="81"/>
      <c r="D58" s="81"/>
      <c r="E58" s="76"/>
      <c r="F58" s="76"/>
      <c r="H58" s="75"/>
      <c r="K58" s="60"/>
      <c r="L58" s="76"/>
      <c r="M58" s="76"/>
      <c r="O58" s="76"/>
      <c r="P58" s="76"/>
      <c r="Q58" s="76"/>
      <c r="S58" s="76"/>
      <c r="T58" s="76"/>
      <c r="U58" s="76"/>
      <c r="V58" s="76"/>
      <c r="W58" s="76"/>
      <c r="X58" s="76"/>
      <c r="Y58" s="76"/>
    </row>
    <row r="59" spans="1:27" x14ac:dyDescent="0.25">
      <c r="E59" s="76"/>
      <c r="F59" s="76"/>
      <c r="K59" s="60"/>
      <c r="L59" s="76"/>
      <c r="M59" s="76"/>
      <c r="O59" t="s">
        <v>60</v>
      </c>
      <c r="P59" s="61"/>
      <c r="Q59" s="81"/>
      <c r="R59" s="81"/>
      <c r="S59" s="75"/>
      <c r="T59" s="75"/>
      <c r="U59" s="60">
        <v>5.6</v>
      </c>
      <c r="V59" s="44" t="s">
        <v>61</v>
      </c>
      <c r="W59" s="76"/>
      <c r="X59" s="76"/>
      <c r="Y59" s="76"/>
    </row>
    <row r="60" spans="1:27" x14ac:dyDescent="0.25">
      <c r="E60" s="61"/>
      <c r="F60" s="61"/>
      <c r="U60" s="76"/>
    </row>
    <row r="61" spans="1:27" x14ac:dyDescent="0.25">
      <c r="B61" s="61" t="s">
        <v>158</v>
      </c>
      <c r="E61" s="61">
        <v>-1</v>
      </c>
      <c r="F61" s="61">
        <v>1</v>
      </c>
      <c r="G61" s="60">
        <v>2</v>
      </c>
      <c r="K61" s="61">
        <v>-1</v>
      </c>
      <c r="U61" s="76"/>
      <c r="W61" s="61">
        <v>0</v>
      </c>
      <c r="Y61" s="61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pane ySplit="6" topLeftCell="A25" activePane="bottomLeft" state="frozen"/>
      <selection pane="bottomLeft" activeCell="H28" sqref="H28"/>
    </sheetView>
  </sheetViews>
  <sheetFormatPr defaultRowHeight="15" x14ac:dyDescent="0.25"/>
  <cols>
    <col min="1" max="1" width="3.5703125" style="57" bestFit="1" customWidth="1"/>
    <col min="2" max="2" width="15" style="61" bestFit="1" customWidth="1"/>
    <col min="3" max="3" width="10.7109375" style="59" bestFit="1" customWidth="1"/>
    <col min="4" max="4" width="10.7109375" style="60" bestFit="1" customWidth="1"/>
    <col min="5" max="5" width="11.140625" style="60" bestFit="1" customWidth="1"/>
    <col min="6" max="6" width="10.7109375" style="60" bestFit="1" customWidth="1"/>
    <col min="7" max="7" width="9.7109375" style="60" bestFit="1" customWidth="1"/>
    <col min="8" max="9" width="9.85546875" style="60" bestFit="1" customWidth="1"/>
    <col min="10" max="10" width="11.140625" style="60" customWidth="1"/>
    <col min="11" max="11" width="8.7109375" style="61" bestFit="1" customWidth="1"/>
    <col min="12" max="12" width="9.28515625" style="61" bestFit="1" customWidth="1"/>
    <col min="13" max="13" width="9.7109375" style="61" bestFit="1" customWidth="1"/>
    <col min="14" max="14" width="1.7109375" style="61" customWidth="1"/>
    <col min="15" max="15" width="10.7109375" style="61" bestFit="1" customWidth="1"/>
    <col min="16" max="16" width="12.42578125" style="62" bestFit="1" customWidth="1"/>
    <col min="17" max="17" width="9.28515625" style="61" bestFit="1" customWidth="1"/>
    <col min="18" max="18" width="2.7109375" style="61" customWidth="1"/>
    <col min="19" max="19" width="10.7109375" style="61" bestFit="1" customWidth="1"/>
    <col min="20" max="20" width="11.7109375" style="61" customWidth="1"/>
    <col min="21" max="21" width="12.7109375" style="61" bestFit="1" customWidth="1"/>
    <col min="22" max="22" width="2.7109375" style="61" customWidth="1"/>
    <col min="23" max="23" width="12.7109375" style="61" bestFit="1" customWidth="1"/>
    <col min="24" max="24" width="2.7109375" style="61" customWidth="1"/>
    <col min="25" max="25" width="11.140625" style="61" bestFit="1" customWidth="1"/>
  </cols>
  <sheetData>
    <row r="1" spans="1:25" x14ac:dyDescent="0.25">
      <c r="B1" s="58" t="s">
        <v>162</v>
      </c>
      <c r="O1" s="58" t="s">
        <v>163</v>
      </c>
    </row>
    <row r="3" spans="1:25" x14ac:dyDescent="0.25">
      <c r="H3" s="63" t="s">
        <v>83</v>
      </c>
      <c r="K3" s="133" t="s">
        <v>84</v>
      </c>
      <c r="L3" s="133"/>
      <c r="M3" s="133"/>
      <c r="O3" s="134" t="s">
        <v>27</v>
      </c>
      <c r="P3" s="134"/>
      <c r="Q3" s="134"/>
      <c r="S3" s="134" t="s">
        <v>30</v>
      </c>
      <c r="T3" s="134"/>
      <c r="U3" s="134"/>
    </row>
    <row r="4" spans="1:25" x14ac:dyDescent="0.25">
      <c r="C4" s="65">
        <v>41455</v>
      </c>
      <c r="D4" s="65">
        <v>41820</v>
      </c>
      <c r="E4" s="65">
        <v>41455</v>
      </c>
      <c r="G4" s="63" t="s">
        <v>85</v>
      </c>
      <c r="H4" s="63" t="s">
        <v>49</v>
      </c>
      <c r="I4" s="63" t="s">
        <v>49</v>
      </c>
      <c r="J4" s="63" t="s">
        <v>86</v>
      </c>
      <c r="O4" s="63" t="s">
        <v>87</v>
      </c>
      <c r="Q4" s="63" t="s">
        <v>88</v>
      </c>
      <c r="R4" s="63"/>
      <c r="S4" s="63" t="s">
        <v>87</v>
      </c>
      <c r="U4" s="63" t="s">
        <v>88</v>
      </c>
      <c r="V4" s="63"/>
      <c r="W4" s="63" t="s">
        <v>164</v>
      </c>
      <c r="X4" s="63"/>
      <c r="Y4" s="57" t="s">
        <v>89</v>
      </c>
    </row>
    <row r="5" spans="1:25" x14ac:dyDescent="0.25">
      <c r="A5" s="57" t="s">
        <v>159</v>
      </c>
      <c r="C5" s="66" t="s">
        <v>90</v>
      </c>
      <c r="D5" s="66" t="s">
        <v>90</v>
      </c>
      <c r="E5" s="63" t="s">
        <v>91</v>
      </c>
      <c r="F5" s="63" t="s">
        <v>92</v>
      </c>
      <c r="G5" s="63" t="s">
        <v>90</v>
      </c>
      <c r="H5" s="63" t="s">
        <v>93</v>
      </c>
      <c r="I5" s="63" t="s">
        <v>93</v>
      </c>
      <c r="J5" s="63" t="s">
        <v>94</v>
      </c>
      <c r="K5" s="63" t="s">
        <v>95</v>
      </c>
      <c r="L5" s="57" t="s">
        <v>96</v>
      </c>
      <c r="M5" s="57" t="s">
        <v>96</v>
      </c>
      <c r="O5" s="57" t="s">
        <v>97</v>
      </c>
      <c r="P5" s="67" t="s">
        <v>165</v>
      </c>
      <c r="Q5" s="57" t="s">
        <v>97</v>
      </c>
      <c r="R5" s="57"/>
      <c r="S5" s="57" t="s">
        <v>97</v>
      </c>
      <c r="T5" s="63" t="s">
        <v>165</v>
      </c>
      <c r="U5" s="57" t="s">
        <v>97</v>
      </c>
      <c r="V5" s="57"/>
      <c r="W5" s="63" t="s">
        <v>92</v>
      </c>
      <c r="X5" s="63"/>
      <c r="Y5" s="57" t="s">
        <v>95</v>
      </c>
    </row>
    <row r="6" spans="1:25" ht="20.100000000000001" customHeight="1" x14ac:dyDescent="0.35">
      <c r="A6" s="64" t="s">
        <v>160</v>
      </c>
      <c r="B6" s="68" t="s">
        <v>98</v>
      </c>
      <c r="C6" s="69" t="s">
        <v>99</v>
      </c>
      <c r="D6" s="69" t="s">
        <v>99</v>
      </c>
      <c r="E6" s="70" t="s">
        <v>100</v>
      </c>
      <c r="F6" s="71">
        <v>41455</v>
      </c>
      <c r="G6" s="70" t="s">
        <v>101</v>
      </c>
      <c r="H6" s="70" t="s">
        <v>102</v>
      </c>
      <c r="I6" s="70" t="s">
        <v>102</v>
      </c>
      <c r="J6" s="70" t="s">
        <v>103</v>
      </c>
      <c r="K6" s="70" t="s">
        <v>56</v>
      </c>
      <c r="L6" s="70" t="s">
        <v>104</v>
      </c>
      <c r="M6" s="72" t="s">
        <v>105</v>
      </c>
      <c r="O6" s="72" t="s">
        <v>106</v>
      </c>
      <c r="P6" s="73" t="s">
        <v>107</v>
      </c>
      <c r="Q6" s="72" t="s">
        <v>108</v>
      </c>
      <c r="R6" s="72"/>
      <c r="S6" s="72" t="s">
        <v>106</v>
      </c>
      <c r="T6" s="72" t="s">
        <v>107</v>
      </c>
      <c r="U6" s="72" t="s">
        <v>108</v>
      </c>
      <c r="V6" s="72"/>
      <c r="W6" s="71">
        <v>41820</v>
      </c>
      <c r="X6" s="71"/>
      <c r="Y6" s="72" t="s">
        <v>56</v>
      </c>
    </row>
    <row r="7" spans="1:25" ht="20.100000000000001" customHeight="1" x14ac:dyDescent="0.25">
      <c r="A7" s="57">
        <v>101</v>
      </c>
      <c r="B7" s="74" t="s">
        <v>109</v>
      </c>
      <c r="C7" s="59">
        <v>2.6912900999999999E-2</v>
      </c>
      <c r="D7" s="59">
        <v>2.6844061590719944E-2</v>
      </c>
      <c r="E7" s="75">
        <f t="shared" ref="E7:E23" si="0">ROUND(C7*$F$57,0)</f>
        <v>14908723</v>
      </c>
      <c r="F7" s="76">
        <v>14870589</v>
      </c>
      <c r="G7" s="76">
        <f t="shared" ref="G7:G55" si="1">F7-E7</f>
        <v>-38134</v>
      </c>
      <c r="H7" s="76">
        <f>ROUND(D7*76917460,0)</f>
        <v>2064777</v>
      </c>
      <c r="I7" s="76">
        <v>2064777</v>
      </c>
      <c r="J7" s="76">
        <f>H7-I7</f>
        <v>0</v>
      </c>
      <c r="K7" s="62">
        <f t="shared" ref="K7:K23" si="2">ROUND((G7+J7)/5.6,0)</f>
        <v>-6810</v>
      </c>
      <c r="L7" s="77">
        <f t="shared" ref="L7:L55" si="3">IF(K7&lt;0,0,G7+J7-K7)</f>
        <v>0</v>
      </c>
      <c r="M7" s="62">
        <f t="shared" ref="M7:M55" si="4">IF(G7&lt;0,(G7+J7-K7),0)</f>
        <v>-31324</v>
      </c>
      <c r="O7" s="62">
        <v>0</v>
      </c>
      <c r="P7" s="76">
        <v>719213</v>
      </c>
      <c r="Q7" s="62">
        <v>0</v>
      </c>
      <c r="S7" s="76">
        <v>-27540</v>
      </c>
      <c r="T7" s="62">
        <v>0</v>
      </c>
      <c r="U7" s="76">
        <v>-4574238</v>
      </c>
      <c r="W7" s="76">
        <v>9730925</v>
      </c>
      <c r="X7" s="76"/>
      <c r="Y7" s="76">
        <v>807679</v>
      </c>
    </row>
    <row r="8" spans="1:25" ht="20.100000000000001" customHeight="1" x14ac:dyDescent="0.25">
      <c r="A8" s="57">
        <v>102</v>
      </c>
      <c r="B8" s="74" t="s">
        <v>110</v>
      </c>
      <c r="C8" s="59">
        <v>1.5931008E-2</v>
      </c>
      <c r="D8" s="59">
        <v>1.6611833750079456E-2</v>
      </c>
      <c r="E8" s="75">
        <f t="shared" si="0"/>
        <v>8825172</v>
      </c>
      <c r="F8" s="76">
        <v>9202324</v>
      </c>
      <c r="G8" s="76">
        <f t="shared" si="1"/>
        <v>377152</v>
      </c>
      <c r="H8" s="76">
        <f t="shared" ref="H8:H55" si="5">ROUND(D8*76917460,0)</f>
        <v>1277740</v>
      </c>
      <c r="I8" s="76">
        <v>1277740</v>
      </c>
      <c r="J8" s="76">
        <f t="shared" ref="J8:J55" si="6">H8-I8</f>
        <v>0</v>
      </c>
      <c r="K8" s="62">
        <f t="shared" si="2"/>
        <v>67349</v>
      </c>
      <c r="L8" s="62">
        <f t="shared" si="3"/>
        <v>309803</v>
      </c>
      <c r="M8" s="62">
        <f t="shared" si="4"/>
        <v>0</v>
      </c>
      <c r="O8" s="62">
        <v>0</v>
      </c>
      <c r="P8" s="76">
        <v>445069</v>
      </c>
      <c r="Q8" s="62">
        <v>0</v>
      </c>
      <c r="S8" s="76">
        <v>-17042</v>
      </c>
      <c r="T8" s="62">
        <v>0</v>
      </c>
      <c r="U8" s="76">
        <v>-2830663</v>
      </c>
      <c r="W8" s="76">
        <v>6021760</v>
      </c>
      <c r="X8" s="76"/>
      <c r="Y8" s="76">
        <v>499813</v>
      </c>
    </row>
    <row r="9" spans="1:25" ht="20.100000000000001" customHeight="1" x14ac:dyDescent="0.25">
      <c r="A9" s="57">
        <v>103</v>
      </c>
      <c r="B9" s="74" t="s">
        <v>111</v>
      </c>
      <c r="C9" s="59">
        <v>1.8911649999999999E-2</v>
      </c>
      <c r="D9" s="59">
        <v>1.874664098100411E-2</v>
      </c>
      <c r="E9" s="75">
        <f t="shared" si="0"/>
        <v>10476335</v>
      </c>
      <c r="F9" s="76">
        <v>10384926</v>
      </c>
      <c r="G9" s="76">
        <f t="shared" si="1"/>
        <v>-91409</v>
      </c>
      <c r="H9" s="76">
        <f t="shared" si="5"/>
        <v>1441944</v>
      </c>
      <c r="I9" s="76">
        <v>1441944</v>
      </c>
      <c r="J9" s="76">
        <f t="shared" si="6"/>
        <v>0</v>
      </c>
      <c r="K9" s="62">
        <f t="shared" si="2"/>
        <v>-16323</v>
      </c>
      <c r="L9" s="62">
        <f t="shared" si="3"/>
        <v>0</v>
      </c>
      <c r="M9" s="62">
        <f t="shared" si="4"/>
        <v>-75086</v>
      </c>
      <c r="O9" s="62">
        <v>0</v>
      </c>
      <c r="P9" s="76">
        <v>502265</v>
      </c>
      <c r="Q9" s="62">
        <v>0</v>
      </c>
      <c r="S9" s="76">
        <v>-19232</v>
      </c>
      <c r="T9" s="62">
        <v>0</v>
      </c>
      <c r="U9" s="76">
        <v>-3194436</v>
      </c>
      <c r="W9" s="76">
        <v>6795625</v>
      </c>
      <c r="X9" s="76"/>
      <c r="Y9" s="76">
        <v>564046</v>
      </c>
    </row>
    <row r="10" spans="1:25" ht="20.100000000000001" customHeight="1" x14ac:dyDescent="0.25">
      <c r="A10" s="57">
        <v>104</v>
      </c>
      <c r="B10" s="74" t="s">
        <v>112</v>
      </c>
      <c r="C10" s="59">
        <v>5.7501169999999999E-3</v>
      </c>
      <c r="D10" s="59">
        <v>5.8176918757784522E-3</v>
      </c>
      <c r="E10" s="75">
        <f t="shared" si="0"/>
        <v>3185346</v>
      </c>
      <c r="F10" s="76">
        <v>3222780</v>
      </c>
      <c r="G10" s="76">
        <f t="shared" si="1"/>
        <v>37434</v>
      </c>
      <c r="H10" s="76">
        <f t="shared" si="5"/>
        <v>447482</v>
      </c>
      <c r="I10" s="76">
        <v>447482</v>
      </c>
      <c r="J10" s="76">
        <f t="shared" si="6"/>
        <v>0</v>
      </c>
      <c r="K10" s="62">
        <f t="shared" si="2"/>
        <v>6685</v>
      </c>
      <c r="L10" s="62">
        <f t="shared" si="3"/>
        <v>30749</v>
      </c>
      <c r="M10" s="62">
        <f t="shared" si="4"/>
        <v>0</v>
      </c>
      <c r="O10" s="62">
        <v>0</v>
      </c>
      <c r="P10" s="76">
        <v>155869</v>
      </c>
      <c r="Q10" s="62">
        <v>0</v>
      </c>
      <c r="S10" s="76">
        <v>-5968</v>
      </c>
      <c r="T10" s="62">
        <v>0</v>
      </c>
      <c r="U10" s="76">
        <v>-991337</v>
      </c>
      <c r="W10" s="76">
        <v>2108903</v>
      </c>
      <c r="X10" s="76"/>
      <c r="Y10" s="76">
        <v>175042</v>
      </c>
    </row>
    <row r="11" spans="1:25" ht="20.100000000000001" customHeight="1" x14ac:dyDescent="0.25">
      <c r="A11" s="57">
        <v>105</v>
      </c>
      <c r="B11" s="74" t="s">
        <v>113</v>
      </c>
      <c r="C11" s="59">
        <v>1.8864233000000001E-2</v>
      </c>
      <c r="D11" s="59">
        <v>1.8017704648857651E-2</v>
      </c>
      <c r="E11" s="75">
        <f t="shared" si="0"/>
        <v>10450068</v>
      </c>
      <c r="F11" s="76">
        <v>9981123</v>
      </c>
      <c r="G11" s="76">
        <f t="shared" si="1"/>
        <v>-468945</v>
      </c>
      <c r="H11" s="76">
        <f t="shared" si="5"/>
        <v>1385876</v>
      </c>
      <c r="I11" s="76">
        <v>1385876</v>
      </c>
      <c r="J11" s="76">
        <f t="shared" si="6"/>
        <v>0</v>
      </c>
      <c r="K11" s="62">
        <f t="shared" si="2"/>
        <v>-83740</v>
      </c>
      <c r="L11" s="62">
        <f t="shared" si="3"/>
        <v>0</v>
      </c>
      <c r="M11" s="62">
        <f t="shared" si="4"/>
        <v>-385205</v>
      </c>
      <c r="O11" s="62">
        <v>0</v>
      </c>
      <c r="P11" s="76">
        <v>482735</v>
      </c>
      <c r="Q11" s="62">
        <v>0</v>
      </c>
      <c r="S11" s="76">
        <v>-18485</v>
      </c>
      <c r="T11" s="62">
        <v>0</v>
      </c>
      <c r="U11" s="76">
        <v>-3070224</v>
      </c>
      <c r="W11" s="76">
        <v>6531386</v>
      </c>
      <c r="X11" s="76"/>
      <c r="Y11" s="76">
        <v>542114</v>
      </c>
    </row>
    <row r="12" spans="1:25" ht="20.100000000000001" customHeight="1" x14ac:dyDescent="0.25">
      <c r="A12" s="57">
        <v>106</v>
      </c>
      <c r="B12" s="74" t="s">
        <v>114</v>
      </c>
      <c r="C12" s="59">
        <v>2.4599410000000002E-3</v>
      </c>
      <c r="D12" s="59">
        <v>2.5757743319130173E-3</v>
      </c>
      <c r="E12" s="75">
        <f t="shared" si="0"/>
        <v>1362714</v>
      </c>
      <c r="F12" s="76">
        <v>1426881</v>
      </c>
      <c r="G12" s="76">
        <f t="shared" si="1"/>
        <v>64167</v>
      </c>
      <c r="H12" s="76">
        <f t="shared" si="5"/>
        <v>198122</v>
      </c>
      <c r="I12" s="76">
        <v>198122</v>
      </c>
      <c r="J12" s="76">
        <f t="shared" si="6"/>
        <v>0</v>
      </c>
      <c r="K12" s="62">
        <f t="shared" si="2"/>
        <v>11458</v>
      </c>
      <c r="L12" s="62">
        <f t="shared" si="3"/>
        <v>52709</v>
      </c>
      <c r="M12" s="62">
        <f t="shared" si="4"/>
        <v>0</v>
      </c>
      <c r="O12" s="62">
        <v>0</v>
      </c>
      <c r="P12" s="76">
        <v>69011</v>
      </c>
      <c r="Q12" s="62">
        <v>0</v>
      </c>
      <c r="S12" s="76">
        <v>-2643</v>
      </c>
      <c r="T12" s="62">
        <v>0</v>
      </c>
      <c r="U12" s="76">
        <v>-438913</v>
      </c>
      <c r="W12" s="76">
        <v>933714</v>
      </c>
      <c r="X12" s="76"/>
      <c r="Y12" s="76">
        <v>77499</v>
      </c>
    </row>
    <row r="13" spans="1:25" ht="20.100000000000001" customHeight="1" x14ac:dyDescent="0.25">
      <c r="A13" s="57">
        <v>107</v>
      </c>
      <c r="B13" s="74" t="s">
        <v>115</v>
      </c>
      <c r="C13" s="59">
        <v>2.790233E-3</v>
      </c>
      <c r="D13" s="59">
        <v>2.7818787362549609E-3</v>
      </c>
      <c r="E13" s="75">
        <f t="shared" si="0"/>
        <v>1545683</v>
      </c>
      <c r="F13" s="76">
        <v>1541055</v>
      </c>
      <c r="G13" s="76">
        <f t="shared" si="1"/>
        <v>-4628</v>
      </c>
      <c r="H13" s="76">
        <f t="shared" si="5"/>
        <v>213975</v>
      </c>
      <c r="I13" s="76">
        <v>213975</v>
      </c>
      <c r="J13" s="76">
        <f t="shared" si="6"/>
        <v>0</v>
      </c>
      <c r="K13" s="62">
        <f t="shared" si="2"/>
        <v>-826</v>
      </c>
      <c r="L13" s="62">
        <f t="shared" si="3"/>
        <v>0</v>
      </c>
      <c r="M13" s="62">
        <f t="shared" si="4"/>
        <v>-3802</v>
      </c>
      <c r="O13" s="62">
        <v>0</v>
      </c>
      <c r="P13" s="76">
        <v>74533</v>
      </c>
      <c r="Q13" s="62">
        <v>0</v>
      </c>
      <c r="S13" s="76">
        <v>-2854</v>
      </c>
      <c r="T13" s="62">
        <v>0</v>
      </c>
      <c r="U13" s="76">
        <v>-474033</v>
      </c>
      <c r="W13" s="76">
        <v>1008426</v>
      </c>
      <c r="X13" s="76"/>
      <c r="Y13" s="76">
        <v>83701</v>
      </c>
    </row>
    <row r="14" spans="1:25" ht="20.100000000000001" customHeight="1" x14ac:dyDescent="0.25">
      <c r="A14" s="57">
        <v>108</v>
      </c>
      <c r="B14" s="74" t="s">
        <v>116</v>
      </c>
      <c r="C14" s="59">
        <v>1.7520208999999998E-2</v>
      </c>
      <c r="D14" s="59">
        <v>1.7827707848698297E-2</v>
      </c>
      <c r="E14" s="75">
        <f t="shared" si="0"/>
        <v>9705529</v>
      </c>
      <c r="F14" s="76">
        <v>9875872</v>
      </c>
      <c r="G14" s="76">
        <f t="shared" si="1"/>
        <v>170343</v>
      </c>
      <c r="H14" s="76">
        <f t="shared" si="5"/>
        <v>1371262</v>
      </c>
      <c r="I14" s="76">
        <v>1371262</v>
      </c>
      <c r="J14" s="76">
        <f t="shared" si="6"/>
        <v>0</v>
      </c>
      <c r="K14" s="62">
        <f t="shared" si="2"/>
        <v>30418</v>
      </c>
      <c r="L14" s="62">
        <f t="shared" si="3"/>
        <v>139925</v>
      </c>
      <c r="M14" s="62">
        <f t="shared" si="4"/>
        <v>0</v>
      </c>
      <c r="O14" s="62">
        <v>0</v>
      </c>
      <c r="P14" s="76">
        <v>477644</v>
      </c>
      <c r="Q14" s="62">
        <v>0</v>
      </c>
      <c r="S14" s="76">
        <v>-18290</v>
      </c>
      <c r="T14" s="62">
        <v>0</v>
      </c>
      <c r="U14" s="76">
        <v>-3037849</v>
      </c>
      <c r="W14" s="76">
        <v>6462513</v>
      </c>
      <c r="X14" s="76"/>
      <c r="Y14" s="76">
        <v>536397</v>
      </c>
    </row>
    <row r="15" spans="1:25" ht="20.100000000000001" customHeight="1" x14ac:dyDescent="0.25">
      <c r="A15" s="57">
        <v>109</v>
      </c>
      <c r="B15" s="74" t="s">
        <v>117</v>
      </c>
      <c r="C15" s="59">
        <v>9.2094375000000006E-2</v>
      </c>
      <c r="D15" s="59">
        <v>9.3012964115779778E-2</v>
      </c>
      <c r="E15" s="75">
        <f t="shared" si="0"/>
        <v>51016781</v>
      </c>
      <c r="F15" s="76">
        <v>51525644</v>
      </c>
      <c r="G15" s="76">
        <f t="shared" si="1"/>
        <v>508863</v>
      </c>
      <c r="H15" s="76">
        <f t="shared" si="5"/>
        <v>7154321</v>
      </c>
      <c r="I15" s="76">
        <v>7154321</v>
      </c>
      <c r="J15" s="76">
        <f t="shared" si="6"/>
        <v>0</v>
      </c>
      <c r="K15" s="62">
        <f t="shared" si="2"/>
        <v>90868</v>
      </c>
      <c r="L15" s="62">
        <f t="shared" si="3"/>
        <v>417995</v>
      </c>
      <c r="M15" s="62">
        <f t="shared" si="4"/>
        <v>0</v>
      </c>
      <c r="O15" s="62">
        <v>0</v>
      </c>
      <c r="P15" s="76">
        <v>2492027</v>
      </c>
      <c r="Q15" s="62">
        <v>0</v>
      </c>
      <c r="S15" s="76">
        <v>-95423</v>
      </c>
      <c r="T15" s="62">
        <v>0</v>
      </c>
      <c r="U15" s="76">
        <v>-15849448</v>
      </c>
      <c r="W15" s="76">
        <v>33717037</v>
      </c>
      <c r="X15" s="76"/>
      <c r="Y15" s="76">
        <v>2798558</v>
      </c>
    </row>
    <row r="16" spans="1:25" ht="20.100000000000001" customHeight="1" x14ac:dyDescent="0.25">
      <c r="A16" s="57">
        <v>110</v>
      </c>
      <c r="B16" s="74" t="s">
        <v>118</v>
      </c>
      <c r="C16" s="59">
        <v>2.434659E-3</v>
      </c>
      <c r="D16" s="59">
        <v>2.4090498878135062E-3</v>
      </c>
      <c r="E16" s="75">
        <f t="shared" si="0"/>
        <v>1348708</v>
      </c>
      <c r="F16" s="76">
        <v>1334522</v>
      </c>
      <c r="G16" s="76">
        <f t="shared" si="1"/>
        <v>-14186</v>
      </c>
      <c r="H16" s="76">
        <f t="shared" si="5"/>
        <v>185298</v>
      </c>
      <c r="I16" s="76">
        <v>185298</v>
      </c>
      <c r="J16" s="76">
        <f t="shared" si="6"/>
        <v>0</v>
      </c>
      <c r="K16" s="62">
        <f t="shared" si="2"/>
        <v>-2533</v>
      </c>
      <c r="L16" s="62">
        <f t="shared" si="3"/>
        <v>0</v>
      </c>
      <c r="M16" s="62">
        <f t="shared" si="4"/>
        <v>-11653</v>
      </c>
      <c r="O16" s="62">
        <v>0</v>
      </c>
      <c r="P16" s="76">
        <v>64544</v>
      </c>
      <c r="Q16" s="62">
        <v>0</v>
      </c>
      <c r="S16" s="76">
        <v>-2471</v>
      </c>
      <c r="T16" s="62">
        <v>0</v>
      </c>
      <c r="U16" s="76">
        <v>-410503</v>
      </c>
      <c r="W16" s="76">
        <v>873276</v>
      </c>
      <c r="X16" s="76"/>
      <c r="Y16" s="76">
        <v>72483</v>
      </c>
    </row>
    <row r="17" spans="1:25" ht="20.100000000000001" customHeight="1" x14ac:dyDescent="0.25">
      <c r="A17" s="57">
        <v>111</v>
      </c>
      <c r="B17" s="74" t="s">
        <v>119</v>
      </c>
      <c r="C17" s="59">
        <v>4.0701390000000004E-3</v>
      </c>
      <c r="D17" s="59">
        <v>2.9419456835232051E-3</v>
      </c>
      <c r="E17" s="75">
        <f t="shared" si="0"/>
        <v>2254702</v>
      </c>
      <c r="F17" s="76">
        <v>1629726</v>
      </c>
      <c r="G17" s="76">
        <f t="shared" si="1"/>
        <v>-624976</v>
      </c>
      <c r="H17" s="76">
        <f t="shared" si="5"/>
        <v>226287</v>
      </c>
      <c r="I17" s="76">
        <v>226287</v>
      </c>
      <c r="J17" s="76">
        <f t="shared" si="6"/>
        <v>0</v>
      </c>
      <c r="K17" s="62">
        <f t="shared" si="2"/>
        <v>-111603</v>
      </c>
      <c r="L17" s="62">
        <f t="shared" si="3"/>
        <v>0</v>
      </c>
      <c r="M17" s="62">
        <f t="shared" si="4"/>
        <v>-513373</v>
      </c>
      <c r="O17" s="62">
        <v>0</v>
      </c>
      <c r="P17" s="76">
        <v>78821</v>
      </c>
      <c r="Q17" s="62">
        <v>0</v>
      </c>
      <c r="S17" s="76">
        <v>-3018</v>
      </c>
      <c r="T17" s="62">
        <v>0</v>
      </c>
      <c r="U17" s="76">
        <v>-501309</v>
      </c>
      <c r="W17" s="76">
        <v>1066450</v>
      </c>
      <c r="X17" s="76"/>
      <c r="Y17" s="76">
        <v>88517</v>
      </c>
    </row>
    <row r="18" spans="1:25" ht="20.100000000000001" customHeight="1" x14ac:dyDescent="0.25">
      <c r="A18" s="57">
        <v>112</v>
      </c>
      <c r="B18" s="74" t="s">
        <v>120</v>
      </c>
      <c r="C18" s="59">
        <v>1.9452618000000001E-2</v>
      </c>
      <c r="D18" s="59">
        <v>1.9699636018870977E-2</v>
      </c>
      <c r="E18" s="75">
        <f t="shared" si="0"/>
        <v>10776010</v>
      </c>
      <c r="F18" s="76">
        <v>10912849</v>
      </c>
      <c r="G18" s="76">
        <f t="shared" si="1"/>
        <v>136839</v>
      </c>
      <c r="H18" s="76">
        <f t="shared" si="5"/>
        <v>1515246</v>
      </c>
      <c r="I18" s="76">
        <v>1515246</v>
      </c>
      <c r="J18" s="76">
        <f t="shared" si="6"/>
        <v>0</v>
      </c>
      <c r="K18" s="62">
        <f t="shared" si="2"/>
        <v>24436</v>
      </c>
      <c r="L18" s="62">
        <f t="shared" si="3"/>
        <v>112403</v>
      </c>
      <c r="M18" s="62">
        <f t="shared" si="4"/>
        <v>0</v>
      </c>
      <c r="O18" s="62">
        <v>0</v>
      </c>
      <c r="P18" s="76">
        <v>527798</v>
      </c>
      <c r="Q18" s="62">
        <v>0</v>
      </c>
      <c r="S18" s="76">
        <v>-20210</v>
      </c>
      <c r="T18" s="62">
        <v>0</v>
      </c>
      <c r="U18" s="76">
        <v>-3356826</v>
      </c>
      <c r="W18" s="76">
        <v>7141084</v>
      </c>
      <c r="X18" s="76"/>
      <c r="Y18" s="76">
        <v>592719</v>
      </c>
    </row>
    <row r="19" spans="1:25" ht="20.100000000000001" customHeight="1" x14ac:dyDescent="0.25">
      <c r="A19" s="57">
        <v>113</v>
      </c>
      <c r="B19" s="74" t="s">
        <v>121</v>
      </c>
      <c r="C19" s="59">
        <v>6.1069180000000002E-3</v>
      </c>
      <c r="D19" s="59">
        <v>6.0032407171004293E-3</v>
      </c>
      <c r="E19" s="75">
        <f t="shared" si="0"/>
        <v>3383000</v>
      </c>
      <c r="F19" s="76">
        <v>3325567</v>
      </c>
      <c r="G19" s="76">
        <f t="shared" si="1"/>
        <v>-57433</v>
      </c>
      <c r="H19" s="76">
        <f t="shared" si="5"/>
        <v>461754</v>
      </c>
      <c r="I19" s="76">
        <v>461754</v>
      </c>
      <c r="J19" s="76">
        <f t="shared" si="6"/>
        <v>0</v>
      </c>
      <c r="K19" s="62">
        <f t="shared" si="2"/>
        <v>-10256</v>
      </c>
      <c r="L19" s="62">
        <f t="shared" si="3"/>
        <v>0</v>
      </c>
      <c r="M19" s="62">
        <f t="shared" si="4"/>
        <v>-47177</v>
      </c>
      <c r="O19" s="62">
        <v>0</v>
      </c>
      <c r="P19" s="76">
        <v>160840</v>
      </c>
      <c r="Q19" s="62">
        <v>0</v>
      </c>
      <c r="S19" s="76">
        <v>-6159</v>
      </c>
      <c r="T19" s="62">
        <v>0</v>
      </c>
      <c r="U19" s="76">
        <v>-1022955</v>
      </c>
      <c r="W19" s="76">
        <v>2176164</v>
      </c>
      <c r="X19" s="76"/>
      <c r="Y19" s="76">
        <v>180624</v>
      </c>
    </row>
    <row r="20" spans="1:25" ht="20.100000000000001" customHeight="1" x14ac:dyDescent="0.25">
      <c r="A20" s="57">
        <v>114</v>
      </c>
      <c r="B20" s="74" t="s">
        <v>122</v>
      </c>
      <c r="C20" s="59">
        <v>5.7954240999999997E-2</v>
      </c>
      <c r="D20" s="59">
        <v>5.8249479696675419E-2</v>
      </c>
      <c r="E20" s="75">
        <f t="shared" si="0"/>
        <v>32104445</v>
      </c>
      <c r="F20" s="76">
        <v>32267996</v>
      </c>
      <c r="G20" s="76">
        <f t="shared" si="1"/>
        <v>163551</v>
      </c>
      <c r="H20" s="76">
        <f t="shared" si="5"/>
        <v>4480402</v>
      </c>
      <c r="I20" s="76">
        <v>4480402</v>
      </c>
      <c r="J20" s="76">
        <f t="shared" si="6"/>
        <v>0</v>
      </c>
      <c r="K20" s="62">
        <f t="shared" si="2"/>
        <v>29206</v>
      </c>
      <c r="L20" s="62">
        <f t="shared" si="3"/>
        <v>134345</v>
      </c>
      <c r="M20" s="62">
        <f t="shared" si="4"/>
        <v>0</v>
      </c>
      <c r="O20" s="62">
        <v>0</v>
      </c>
      <c r="P20" s="76">
        <v>1560635</v>
      </c>
      <c r="Q20" s="62">
        <v>0</v>
      </c>
      <c r="S20" s="76">
        <v>-59759</v>
      </c>
      <c r="T20" s="62">
        <v>0</v>
      </c>
      <c r="U20" s="76">
        <v>-9925736</v>
      </c>
      <c r="W20" s="76">
        <v>21115335</v>
      </c>
      <c r="X20" s="76"/>
      <c r="Y20" s="76">
        <v>1752600</v>
      </c>
    </row>
    <row r="21" spans="1:25" ht="20.100000000000001" customHeight="1" x14ac:dyDescent="0.25">
      <c r="A21" s="57">
        <v>115</v>
      </c>
      <c r="B21" s="74" t="s">
        <v>123</v>
      </c>
      <c r="C21" s="59">
        <v>2.962629E-3</v>
      </c>
      <c r="D21" s="59">
        <v>2.8823874424836185E-3</v>
      </c>
      <c r="E21" s="75">
        <f t="shared" si="0"/>
        <v>1641184</v>
      </c>
      <c r="F21" s="76">
        <v>1596733</v>
      </c>
      <c r="G21" s="76">
        <f t="shared" si="1"/>
        <v>-44451</v>
      </c>
      <c r="H21" s="76">
        <f t="shared" si="5"/>
        <v>221706</v>
      </c>
      <c r="I21" s="76">
        <v>221706</v>
      </c>
      <c r="J21" s="76">
        <f t="shared" si="6"/>
        <v>0</v>
      </c>
      <c r="K21" s="62">
        <f t="shared" si="2"/>
        <v>-7938</v>
      </c>
      <c r="L21" s="62">
        <f t="shared" si="3"/>
        <v>0</v>
      </c>
      <c r="M21" s="62">
        <f t="shared" si="4"/>
        <v>-36513</v>
      </c>
      <c r="O21" s="62">
        <v>0</v>
      </c>
      <c r="P21" s="76">
        <v>77226</v>
      </c>
      <c r="Q21" s="62">
        <v>0</v>
      </c>
      <c r="S21" s="76">
        <v>-2957</v>
      </c>
      <c r="T21" s="62">
        <v>0</v>
      </c>
      <c r="U21" s="76">
        <v>-491160</v>
      </c>
      <c r="W21" s="76">
        <v>1044861</v>
      </c>
      <c r="X21" s="76"/>
      <c r="Y21" s="76">
        <v>86725</v>
      </c>
    </row>
    <row r="22" spans="1:25" ht="20.100000000000001" customHeight="1" x14ac:dyDescent="0.25">
      <c r="A22" s="57">
        <v>116</v>
      </c>
      <c r="B22" s="74" t="s">
        <v>124</v>
      </c>
      <c r="C22" s="59">
        <v>8.1588112000000004E-2</v>
      </c>
      <c r="D22" s="59">
        <v>8.2312779956384044E-2</v>
      </c>
      <c r="E22" s="75">
        <f t="shared" si="0"/>
        <v>45196711</v>
      </c>
      <c r="F22" s="76">
        <v>45598149</v>
      </c>
      <c r="G22" s="76">
        <f t="shared" si="1"/>
        <v>401438</v>
      </c>
      <c r="H22" s="76">
        <f t="shared" si="5"/>
        <v>6331290</v>
      </c>
      <c r="I22" s="76">
        <v>6331290</v>
      </c>
      <c r="J22" s="76">
        <f t="shared" si="6"/>
        <v>0</v>
      </c>
      <c r="K22" s="62">
        <f t="shared" si="2"/>
        <v>71685</v>
      </c>
      <c r="L22" s="62">
        <f t="shared" si="3"/>
        <v>329753</v>
      </c>
      <c r="M22" s="62">
        <f t="shared" si="4"/>
        <v>0</v>
      </c>
      <c r="O22" s="62">
        <v>0</v>
      </c>
      <c r="P22" s="76">
        <v>2205346</v>
      </c>
      <c r="Q22" s="62">
        <v>0</v>
      </c>
      <c r="S22" s="76">
        <v>-84446</v>
      </c>
      <c r="T22" s="62">
        <v>0</v>
      </c>
      <c r="U22" s="76">
        <v>-14026133</v>
      </c>
      <c r="W22" s="76">
        <v>29838239</v>
      </c>
      <c r="X22" s="76"/>
      <c r="Y22" s="76">
        <v>2476613</v>
      </c>
    </row>
    <row r="23" spans="1:25" ht="20.100000000000001" customHeight="1" x14ac:dyDescent="0.25">
      <c r="A23" s="57">
        <v>117</v>
      </c>
      <c r="B23" s="74" t="s">
        <v>125</v>
      </c>
      <c r="C23" s="59">
        <v>2.882234E-3</v>
      </c>
      <c r="D23" s="59">
        <v>2.8941409570900122E-3</v>
      </c>
      <c r="E23" s="75">
        <f t="shared" si="0"/>
        <v>1596648</v>
      </c>
      <c r="F23" s="76">
        <v>1603244</v>
      </c>
      <c r="G23" s="76">
        <f t="shared" si="1"/>
        <v>6596</v>
      </c>
      <c r="H23" s="76">
        <f t="shared" si="5"/>
        <v>222610</v>
      </c>
      <c r="I23" s="76">
        <v>222610</v>
      </c>
      <c r="J23" s="76">
        <f t="shared" si="6"/>
        <v>0</v>
      </c>
      <c r="K23" s="62">
        <f t="shared" si="2"/>
        <v>1178</v>
      </c>
      <c r="L23" s="62">
        <f t="shared" si="3"/>
        <v>5418</v>
      </c>
      <c r="M23" s="62">
        <f t="shared" si="4"/>
        <v>0</v>
      </c>
      <c r="O23" s="62">
        <v>0</v>
      </c>
      <c r="P23" s="76">
        <v>77540</v>
      </c>
      <c r="Q23" s="62">
        <v>0</v>
      </c>
      <c r="S23" s="76">
        <v>-2969</v>
      </c>
      <c r="T23" s="62">
        <v>0</v>
      </c>
      <c r="U23" s="76">
        <v>-493163</v>
      </c>
      <c r="W23" s="76">
        <v>1049121</v>
      </c>
      <c r="X23" s="76"/>
      <c r="Y23" s="76">
        <v>87078</v>
      </c>
    </row>
    <row r="24" spans="1:25" ht="20.100000000000001" customHeight="1" x14ac:dyDescent="0.25">
      <c r="A24" s="57">
        <v>118</v>
      </c>
      <c r="B24" s="74" t="s">
        <v>126</v>
      </c>
      <c r="C24" s="59">
        <v>0.184222267</v>
      </c>
      <c r="D24" s="59">
        <v>0.1820457921297596</v>
      </c>
      <c r="E24" s="75">
        <f>ROUND(C24*$F$57,0)+1</f>
        <v>102052129</v>
      </c>
      <c r="F24" s="76">
        <v>100846444</v>
      </c>
      <c r="G24" s="76">
        <f t="shared" si="1"/>
        <v>-1205685</v>
      </c>
      <c r="H24" s="76">
        <f t="shared" si="5"/>
        <v>14002500</v>
      </c>
      <c r="I24" s="76">
        <v>14002500</v>
      </c>
      <c r="J24" s="76">
        <f t="shared" si="6"/>
        <v>0</v>
      </c>
      <c r="K24" s="62">
        <f>ROUND((G24+J24)/5.6,0)+1</f>
        <v>-215300</v>
      </c>
      <c r="L24" s="62">
        <f t="shared" si="3"/>
        <v>0</v>
      </c>
      <c r="M24" s="62">
        <f t="shared" si="4"/>
        <v>-990385</v>
      </c>
      <c r="O24" s="62">
        <v>0</v>
      </c>
      <c r="P24" s="76">
        <v>4877419</v>
      </c>
      <c r="Q24" s="62">
        <v>0</v>
      </c>
      <c r="S24" s="76">
        <v>-186764</v>
      </c>
      <c r="T24" s="62">
        <v>0</v>
      </c>
      <c r="U24" s="76">
        <v>-31020680</v>
      </c>
      <c r="W24" s="76">
        <v>65991282</v>
      </c>
      <c r="X24" s="76"/>
      <c r="Y24" s="76">
        <v>5477363</v>
      </c>
    </row>
    <row r="25" spans="1:25" ht="20.100000000000001" customHeight="1" x14ac:dyDescent="0.25">
      <c r="A25" s="57">
        <v>119</v>
      </c>
      <c r="B25" s="74" t="s">
        <v>127</v>
      </c>
      <c r="C25" s="59">
        <v>2.198906E-3</v>
      </c>
      <c r="D25" s="59">
        <v>2.0695428219122793E-3</v>
      </c>
      <c r="E25" s="75">
        <f t="shared" ref="E25:E55" si="7">ROUND(C25*$F$57,0)</f>
        <v>1218110</v>
      </c>
      <c r="F25" s="76">
        <v>1146448</v>
      </c>
      <c r="G25" s="76">
        <f t="shared" si="1"/>
        <v>-71662</v>
      </c>
      <c r="H25" s="76">
        <f t="shared" si="5"/>
        <v>159184</v>
      </c>
      <c r="I25" s="76">
        <v>159184</v>
      </c>
      <c r="J25" s="76">
        <f t="shared" si="6"/>
        <v>0</v>
      </c>
      <c r="K25" s="62">
        <f t="shared" ref="K25:K55" si="8">ROUND((G25+J25)/5.6,0)</f>
        <v>-12797</v>
      </c>
      <c r="L25" s="62">
        <f t="shared" si="3"/>
        <v>0</v>
      </c>
      <c r="M25" s="62">
        <f t="shared" si="4"/>
        <v>-58865</v>
      </c>
      <c r="O25" s="62">
        <v>0</v>
      </c>
      <c r="P25" s="76">
        <v>55448</v>
      </c>
      <c r="Q25" s="62">
        <v>0</v>
      </c>
      <c r="S25" s="76">
        <v>-2123</v>
      </c>
      <c r="T25" s="62">
        <v>0</v>
      </c>
      <c r="U25" s="76">
        <v>-352651</v>
      </c>
      <c r="W25" s="76">
        <v>750206</v>
      </c>
      <c r="X25" s="76"/>
      <c r="Y25" s="76">
        <v>62268</v>
      </c>
    </row>
    <row r="26" spans="1:25" ht="20.100000000000001" customHeight="1" x14ac:dyDescent="0.25">
      <c r="A26" s="57">
        <v>120</v>
      </c>
      <c r="B26" s="74" t="s">
        <v>128</v>
      </c>
      <c r="C26" s="59">
        <v>5.1047094000000001E-2</v>
      </c>
      <c r="D26" s="59">
        <v>5.0788001669305957E-2</v>
      </c>
      <c r="E26" s="75">
        <f t="shared" si="7"/>
        <v>28278148</v>
      </c>
      <c r="F26" s="76">
        <v>28134621</v>
      </c>
      <c r="G26" s="76">
        <f t="shared" si="1"/>
        <v>-143527</v>
      </c>
      <c r="H26" s="76">
        <f t="shared" si="5"/>
        <v>3906484</v>
      </c>
      <c r="I26" s="76">
        <v>3906484</v>
      </c>
      <c r="J26" s="76">
        <f t="shared" si="6"/>
        <v>0</v>
      </c>
      <c r="K26" s="62">
        <f t="shared" si="8"/>
        <v>-25630</v>
      </c>
      <c r="L26" s="62">
        <f t="shared" si="3"/>
        <v>0</v>
      </c>
      <c r="M26" s="62">
        <f t="shared" si="4"/>
        <v>-117897</v>
      </c>
      <c r="O26" s="62">
        <v>0</v>
      </c>
      <c r="P26" s="76">
        <v>1360725</v>
      </c>
      <c r="Q26" s="62">
        <v>0</v>
      </c>
      <c r="S26" s="76">
        <v>-52104</v>
      </c>
      <c r="T26" s="62">
        <v>0</v>
      </c>
      <c r="U26" s="76">
        <v>-8654297</v>
      </c>
      <c r="W26" s="76">
        <v>18410561</v>
      </c>
      <c r="X26" s="76"/>
      <c r="Y26" s="76">
        <v>1528101</v>
      </c>
    </row>
    <row r="27" spans="1:25" ht="20.100000000000001" customHeight="1" x14ac:dyDescent="0.25">
      <c r="A27" s="57">
        <v>121</v>
      </c>
      <c r="B27" s="74" t="s">
        <v>129</v>
      </c>
      <c r="C27" s="59">
        <v>2.503009E-3</v>
      </c>
      <c r="D27" s="59">
        <v>2.503164653213436E-3</v>
      </c>
      <c r="E27" s="75">
        <f t="shared" si="7"/>
        <v>1386572</v>
      </c>
      <c r="F27" s="76">
        <v>1386658</v>
      </c>
      <c r="G27" s="76">
        <f t="shared" si="1"/>
        <v>86</v>
      </c>
      <c r="H27" s="76">
        <f t="shared" si="5"/>
        <v>192537</v>
      </c>
      <c r="I27" s="76">
        <v>192537</v>
      </c>
      <c r="J27" s="76">
        <f t="shared" si="6"/>
        <v>0</v>
      </c>
      <c r="K27" s="62">
        <f t="shared" si="8"/>
        <v>15</v>
      </c>
      <c r="L27" s="62">
        <f t="shared" si="3"/>
        <v>71</v>
      </c>
      <c r="M27" s="62">
        <f t="shared" si="4"/>
        <v>0</v>
      </c>
      <c r="O27" s="62">
        <v>0</v>
      </c>
      <c r="P27" s="76">
        <v>67065</v>
      </c>
      <c r="Q27" s="62">
        <v>0</v>
      </c>
      <c r="S27" s="76">
        <v>-2568</v>
      </c>
      <c r="T27" s="62">
        <v>0</v>
      </c>
      <c r="U27" s="76">
        <v>-426540</v>
      </c>
      <c r="W27" s="76">
        <v>907392</v>
      </c>
      <c r="X27" s="76"/>
      <c r="Y27" s="76">
        <v>75315</v>
      </c>
    </row>
    <row r="28" spans="1:25" ht="20.100000000000001" customHeight="1" x14ac:dyDescent="0.25">
      <c r="A28" s="57">
        <v>122</v>
      </c>
      <c r="B28" s="74" t="s">
        <v>130</v>
      </c>
      <c r="C28" s="59">
        <v>1.0222289999999999E-3</v>
      </c>
      <c r="D28" s="59">
        <v>1.0326647681139247E-3</v>
      </c>
      <c r="E28" s="75">
        <f t="shared" si="7"/>
        <v>566276</v>
      </c>
      <c r="F28" s="76">
        <v>572057</v>
      </c>
      <c r="G28" s="76">
        <f t="shared" si="1"/>
        <v>5781</v>
      </c>
      <c r="H28" s="76">
        <f t="shared" si="5"/>
        <v>79430</v>
      </c>
      <c r="I28" s="76">
        <v>79430</v>
      </c>
      <c r="J28" s="76">
        <f t="shared" si="6"/>
        <v>0</v>
      </c>
      <c r="K28" s="62">
        <f t="shared" si="8"/>
        <v>1032</v>
      </c>
      <c r="L28" s="62">
        <f t="shared" si="3"/>
        <v>4749</v>
      </c>
      <c r="M28" s="62">
        <f t="shared" si="4"/>
        <v>0</v>
      </c>
      <c r="O28" s="62">
        <v>0</v>
      </c>
      <c r="P28" s="76">
        <v>27668</v>
      </c>
      <c r="Q28" s="62">
        <v>0</v>
      </c>
      <c r="S28" s="76">
        <v>-1059</v>
      </c>
      <c r="T28" s="62">
        <v>0</v>
      </c>
      <c r="U28" s="76">
        <v>-175967</v>
      </c>
      <c r="W28" s="76">
        <v>374339</v>
      </c>
      <c r="X28" s="76"/>
      <c r="Y28" s="76">
        <v>31071</v>
      </c>
    </row>
    <row r="29" spans="1:25" ht="20.100000000000001" customHeight="1" x14ac:dyDescent="0.25">
      <c r="A29" s="57">
        <v>123</v>
      </c>
      <c r="B29" s="74" t="s">
        <v>131</v>
      </c>
      <c r="C29" s="59">
        <v>3.2000470000000001E-3</v>
      </c>
      <c r="D29" s="59">
        <v>3.2123397007037457E-3</v>
      </c>
      <c r="E29" s="75">
        <f t="shared" si="7"/>
        <v>1772704</v>
      </c>
      <c r="F29" s="76">
        <v>1779514</v>
      </c>
      <c r="G29" s="76">
        <f t="shared" si="1"/>
        <v>6810</v>
      </c>
      <c r="H29" s="76">
        <f t="shared" si="5"/>
        <v>247085</v>
      </c>
      <c r="I29" s="76">
        <v>247085</v>
      </c>
      <c r="J29" s="76">
        <f t="shared" si="6"/>
        <v>0</v>
      </c>
      <c r="K29" s="62">
        <f t="shared" si="8"/>
        <v>1216</v>
      </c>
      <c r="L29" s="62">
        <f t="shared" si="3"/>
        <v>5594</v>
      </c>
      <c r="M29" s="62">
        <f t="shared" si="4"/>
        <v>0</v>
      </c>
      <c r="O29" s="62">
        <v>0</v>
      </c>
      <c r="P29" s="76">
        <v>86066</v>
      </c>
      <c r="Q29" s="62">
        <v>0</v>
      </c>
      <c r="S29" s="76">
        <v>-3296</v>
      </c>
      <c r="T29" s="62">
        <v>0</v>
      </c>
      <c r="U29" s="76">
        <v>-547384</v>
      </c>
      <c r="W29" s="76">
        <v>1164467</v>
      </c>
      <c r="X29" s="76"/>
      <c r="Y29" s="76">
        <v>96652</v>
      </c>
    </row>
    <row r="30" spans="1:25" ht="20.100000000000001" customHeight="1" x14ac:dyDescent="0.25">
      <c r="A30" s="57">
        <v>124</v>
      </c>
      <c r="B30" s="74" t="s">
        <v>132</v>
      </c>
      <c r="C30" s="59">
        <v>1.4880348999999999E-2</v>
      </c>
      <c r="D30" s="59">
        <v>1.4805442570812186E-2</v>
      </c>
      <c r="E30" s="75">
        <f t="shared" si="7"/>
        <v>8243147</v>
      </c>
      <c r="F30" s="76">
        <v>8201652</v>
      </c>
      <c r="G30" s="76">
        <f t="shared" si="1"/>
        <v>-41495</v>
      </c>
      <c r="H30" s="76">
        <f t="shared" si="5"/>
        <v>1138797</v>
      </c>
      <c r="I30" s="76">
        <v>1138797</v>
      </c>
      <c r="J30" s="76">
        <f t="shared" si="6"/>
        <v>0</v>
      </c>
      <c r="K30" s="62">
        <f t="shared" si="8"/>
        <v>-7410</v>
      </c>
      <c r="L30" s="62">
        <f t="shared" si="3"/>
        <v>0</v>
      </c>
      <c r="M30" s="62">
        <f t="shared" si="4"/>
        <v>-34085</v>
      </c>
      <c r="O30" s="62">
        <v>0</v>
      </c>
      <c r="P30" s="76">
        <v>396671</v>
      </c>
      <c r="Q30" s="62">
        <v>0</v>
      </c>
      <c r="S30" s="76">
        <v>-15189</v>
      </c>
      <c r="T30" s="62">
        <v>0</v>
      </c>
      <c r="U30" s="76">
        <v>-2522854</v>
      </c>
      <c r="W30" s="76">
        <v>5366947</v>
      </c>
      <c r="X30" s="76"/>
      <c r="Y30" s="76">
        <v>445464</v>
      </c>
    </row>
    <row r="31" spans="1:25" ht="20.100000000000001" customHeight="1" x14ac:dyDescent="0.25">
      <c r="A31" s="57">
        <v>125</v>
      </c>
      <c r="B31" s="74" t="s">
        <v>133</v>
      </c>
      <c r="C31" s="59">
        <v>6.6303159999999998E-3</v>
      </c>
      <c r="D31" s="59">
        <v>6.8337147069923096E-3</v>
      </c>
      <c r="E31" s="75">
        <f t="shared" si="7"/>
        <v>3672943</v>
      </c>
      <c r="F31" s="76">
        <v>3785618</v>
      </c>
      <c r="G31" s="76">
        <f t="shared" si="1"/>
        <v>112675</v>
      </c>
      <c r="H31" s="76">
        <f t="shared" si="5"/>
        <v>525632</v>
      </c>
      <c r="I31" s="76">
        <v>525632</v>
      </c>
      <c r="J31" s="76">
        <f t="shared" si="6"/>
        <v>0</v>
      </c>
      <c r="K31" s="62">
        <f t="shared" si="8"/>
        <v>20121</v>
      </c>
      <c r="L31" s="62">
        <f t="shared" si="3"/>
        <v>92554</v>
      </c>
      <c r="M31" s="62">
        <f t="shared" si="4"/>
        <v>0</v>
      </c>
      <c r="O31" s="62">
        <v>0</v>
      </c>
      <c r="P31" s="76">
        <v>183091</v>
      </c>
      <c r="Q31" s="62">
        <v>0</v>
      </c>
      <c r="S31" s="76">
        <v>-7011</v>
      </c>
      <c r="T31" s="62">
        <v>0</v>
      </c>
      <c r="U31" s="76">
        <v>-1164468</v>
      </c>
      <c r="W31" s="76">
        <v>2477210</v>
      </c>
      <c r="X31" s="76"/>
      <c r="Y31" s="76">
        <v>205612</v>
      </c>
    </row>
    <row r="32" spans="1:25" ht="20.100000000000001" customHeight="1" x14ac:dyDescent="0.25">
      <c r="A32" s="57">
        <v>126</v>
      </c>
      <c r="B32" s="74" t="s">
        <v>134</v>
      </c>
      <c r="C32" s="59">
        <v>3.9844069999999997E-3</v>
      </c>
      <c r="D32" s="59">
        <v>4.0720016152878047E-3</v>
      </c>
      <c r="E32" s="75">
        <f t="shared" si="7"/>
        <v>2207210</v>
      </c>
      <c r="F32" s="76">
        <v>2255734</v>
      </c>
      <c r="G32" s="76">
        <f t="shared" si="1"/>
        <v>48524</v>
      </c>
      <c r="H32" s="76">
        <f t="shared" si="5"/>
        <v>313208</v>
      </c>
      <c r="I32" s="76">
        <v>313208</v>
      </c>
      <c r="J32" s="76">
        <f t="shared" si="6"/>
        <v>0</v>
      </c>
      <c r="K32" s="62">
        <f t="shared" si="8"/>
        <v>8665</v>
      </c>
      <c r="L32" s="62">
        <f t="shared" si="3"/>
        <v>39859</v>
      </c>
      <c r="M32" s="62">
        <f t="shared" si="4"/>
        <v>0</v>
      </c>
      <c r="O32" s="62">
        <v>0</v>
      </c>
      <c r="P32" s="76">
        <v>109098</v>
      </c>
      <c r="Q32" s="62">
        <v>0</v>
      </c>
      <c r="S32" s="76">
        <v>-4178</v>
      </c>
      <c r="T32" s="62">
        <v>0</v>
      </c>
      <c r="U32" s="76">
        <v>-693871</v>
      </c>
      <c r="W32" s="76">
        <v>1476093</v>
      </c>
      <c r="X32" s="76"/>
      <c r="Y32" s="76">
        <v>122518</v>
      </c>
    </row>
    <row r="33" spans="1:25" ht="20.100000000000001" customHeight="1" x14ac:dyDescent="0.25">
      <c r="A33" s="57">
        <v>127</v>
      </c>
      <c r="B33" s="74" t="s">
        <v>135</v>
      </c>
      <c r="C33" s="59">
        <v>4.476636E-3</v>
      </c>
      <c r="D33" s="59">
        <v>4.6781966677311264E-3</v>
      </c>
      <c r="E33" s="75">
        <f t="shared" si="7"/>
        <v>2479886</v>
      </c>
      <c r="F33" s="76">
        <v>2591543</v>
      </c>
      <c r="G33" s="76">
        <f t="shared" si="1"/>
        <v>111657</v>
      </c>
      <c r="H33" s="76">
        <f t="shared" si="5"/>
        <v>359835</v>
      </c>
      <c r="I33" s="76">
        <v>359835</v>
      </c>
      <c r="J33" s="76">
        <f t="shared" si="6"/>
        <v>0</v>
      </c>
      <c r="K33" s="62">
        <f t="shared" si="8"/>
        <v>19939</v>
      </c>
      <c r="L33" s="62">
        <f t="shared" si="3"/>
        <v>91718</v>
      </c>
      <c r="M33" s="62">
        <f t="shared" si="4"/>
        <v>0</v>
      </c>
      <c r="O33" s="62">
        <v>0</v>
      </c>
      <c r="P33" s="76">
        <v>125339</v>
      </c>
      <c r="Q33" s="62">
        <v>0</v>
      </c>
      <c r="S33" s="76">
        <v>-4799</v>
      </c>
      <c r="T33" s="62">
        <v>0</v>
      </c>
      <c r="U33" s="76">
        <v>-797167</v>
      </c>
      <c r="W33" s="76">
        <v>1695838</v>
      </c>
      <c r="X33" s="76"/>
      <c r="Y33" s="76">
        <v>140757</v>
      </c>
    </row>
    <row r="34" spans="1:25" ht="20.100000000000001" customHeight="1" x14ac:dyDescent="0.25">
      <c r="A34" s="57">
        <v>128</v>
      </c>
      <c r="B34" s="74" t="s">
        <v>136</v>
      </c>
      <c r="C34" s="59">
        <v>3.6472986999999998E-2</v>
      </c>
      <c r="D34" s="59">
        <v>3.7781370334920884E-2</v>
      </c>
      <c r="E34" s="75">
        <f t="shared" si="7"/>
        <v>20204647</v>
      </c>
      <c r="F34" s="76">
        <v>20929442</v>
      </c>
      <c r="G34" s="76">
        <f t="shared" si="1"/>
        <v>724795</v>
      </c>
      <c r="H34" s="76">
        <f t="shared" si="5"/>
        <v>2906047</v>
      </c>
      <c r="I34" s="76">
        <v>2906047</v>
      </c>
      <c r="J34" s="76">
        <f t="shared" si="6"/>
        <v>0</v>
      </c>
      <c r="K34" s="62">
        <f t="shared" si="8"/>
        <v>129428</v>
      </c>
      <c r="L34" s="62">
        <f t="shared" si="3"/>
        <v>595367</v>
      </c>
      <c r="M34" s="62">
        <f t="shared" si="4"/>
        <v>0</v>
      </c>
      <c r="O34" s="62">
        <v>0</v>
      </c>
      <c r="P34" s="76">
        <v>1012248</v>
      </c>
      <c r="Q34" s="62">
        <v>0</v>
      </c>
      <c r="S34" s="76">
        <v>-38761</v>
      </c>
      <c r="T34" s="62">
        <v>0</v>
      </c>
      <c r="U34" s="76">
        <v>-6437961</v>
      </c>
      <c r="W34" s="76">
        <v>13695681</v>
      </c>
      <c r="X34" s="76"/>
      <c r="Y34" s="76">
        <v>1136759</v>
      </c>
    </row>
    <row r="35" spans="1:25" ht="20.100000000000001" customHeight="1" x14ac:dyDescent="0.25">
      <c r="A35" s="57">
        <v>129</v>
      </c>
      <c r="B35" s="74" t="s">
        <v>137</v>
      </c>
      <c r="C35" s="59">
        <v>7.9942639999999992E-3</v>
      </c>
      <c r="D35" s="59">
        <v>8.0940792250535059E-3</v>
      </c>
      <c r="E35" s="75">
        <f t="shared" si="7"/>
        <v>4428518</v>
      </c>
      <c r="F35" s="76">
        <v>4483812</v>
      </c>
      <c r="G35" s="76">
        <f t="shared" si="1"/>
        <v>55294</v>
      </c>
      <c r="H35" s="76">
        <f t="shared" si="5"/>
        <v>622576</v>
      </c>
      <c r="I35" s="76">
        <v>622576</v>
      </c>
      <c r="J35" s="76">
        <f t="shared" si="6"/>
        <v>0</v>
      </c>
      <c r="K35" s="62">
        <f t="shared" si="8"/>
        <v>9874</v>
      </c>
      <c r="L35" s="62">
        <f t="shared" si="3"/>
        <v>45420</v>
      </c>
      <c r="M35" s="62">
        <f t="shared" si="4"/>
        <v>0</v>
      </c>
      <c r="O35" s="62">
        <v>0</v>
      </c>
      <c r="P35" s="76">
        <v>216859</v>
      </c>
      <c r="Q35" s="62">
        <v>0</v>
      </c>
      <c r="S35" s="76">
        <v>-8304</v>
      </c>
      <c r="T35" s="62">
        <v>0</v>
      </c>
      <c r="U35" s="76">
        <v>-1379234</v>
      </c>
      <c r="W35" s="76">
        <v>2934090</v>
      </c>
      <c r="X35" s="76"/>
      <c r="Y35" s="76">
        <v>243533</v>
      </c>
    </row>
    <row r="36" spans="1:25" ht="20.100000000000001" customHeight="1" x14ac:dyDescent="0.25">
      <c r="A36" s="57">
        <v>130</v>
      </c>
      <c r="B36" s="78" t="s">
        <v>138</v>
      </c>
      <c r="C36" s="59">
        <v>2.405272E-3</v>
      </c>
      <c r="D36" s="59">
        <v>2.5470034033618421E-3</v>
      </c>
      <c r="E36" s="75">
        <f t="shared" si="7"/>
        <v>1332429</v>
      </c>
      <c r="F36" s="76">
        <v>1410943</v>
      </c>
      <c r="G36" s="76">
        <f t="shared" si="1"/>
        <v>78514</v>
      </c>
      <c r="H36" s="76">
        <f t="shared" si="5"/>
        <v>195909</v>
      </c>
      <c r="I36" s="76">
        <v>195909</v>
      </c>
      <c r="J36" s="76">
        <f t="shared" si="6"/>
        <v>0</v>
      </c>
      <c r="K36" s="62">
        <f t="shared" si="8"/>
        <v>14020</v>
      </c>
      <c r="L36" s="62">
        <f t="shared" si="3"/>
        <v>64494</v>
      </c>
      <c r="M36" s="62">
        <f t="shared" si="4"/>
        <v>0</v>
      </c>
      <c r="O36" s="62">
        <v>0</v>
      </c>
      <c r="P36" s="76">
        <v>68240</v>
      </c>
      <c r="Q36" s="62">
        <v>0</v>
      </c>
      <c r="S36" s="76">
        <v>-2613</v>
      </c>
      <c r="T36" s="62">
        <v>0</v>
      </c>
      <c r="U36" s="76">
        <v>-434010</v>
      </c>
      <c r="W36" s="76">
        <v>923284</v>
      </c>
      <c r="X36" s="76"/>
      <c r="Y36" s="76">
        <v>76634</v>
      </c>
    </row>
    <row r="37" spans="1:25" ht="20.100000000000001" customHeight="1" x14ac:dyDescent="0.25">
      <c r="A37" s="57">
        <v>131</v>
      </c>
      <c r="B37" s="79" t="s">
        <v>139</v>
      </c>
      <c r="C37" s="59">
        <v>3.4360189999999998E-3</v>
      </c>
      <c r="D37" s="59">
        <v>3.5153135722255846E-3</v>
      </c>
      <c r="E37" s="75">
        <f t="shared" si="7"/>
        <v>1903424</v>
      </c>
      <c r="F37" s="76">
        <v>1947350</v>
      </c>
      <c r="G37" s="76">
        <f t="shared" si="1"/>
        <v>43926</v>
      </c>
      <c r="H37" s="76">
        <f t="shared" si="5"/>
        <v>270389</v>
      </c>
      <c r="I37" s="76">
        <v>270389</v>
      </c>
      <c r="J37" s="76">
        <f t="shared" si="6"/>
        <v>0</v>
      </c>
      <c r="K37" s="62">
        <f t="shared" si="8"/>
        <v>7844</v>
      </c>
      <c r="L37" s="62">
        <f t="shared" si="3"/>
        <v>36082</v>
      </c>
      <c r="M37" s="62">
        <f t="shared" si="4"/>
        <v>0</v>
      </c>
      <c r="O37" s="62">
        <v>0</v>
      </c>
      <c r="P37" s="76">
        <v>94183</v>
      </c>
      <c r="Q37" s="62">
        <v>0</v>
      </c>
      <c r="S37" s="76">
        <v>-3606</v>
      </c>
      <c r="T37" s="62">
        <v>0</v>
      </c>
      <c r="U37" s="76">
        <v>-599011</v>
      </c>
      <c r="W37" s="76">
        <v>1274295</v>
      </c>
      <c r="X37" s="76"/>
      <c r="Y37" s="76">
        <v>105768</v>
      </c>
    </row>
    <row r="38" spans="1:25" ht="20.100000000000001" customHeight="1" x14ac:dyDescent="0.25">
      <c r="A38" s="57">
        <v>132</v>
      </c>
      <c r="B38" s="78" t="s">
        <v>140</v>
      </c>
      <c r="C38" s="59">
        <v>2.3405359999999998E-3</v>
      </c>
      <c r="D38" s="59">
        <v>2.1412426908496702E-3</v>
      </c>
      <c r="E38" s="75">
        <f t="shared" si="7"/>
        <v>1296568</v>
      </c>
      <c r="F38" s="76">
        <v>1186167</v>
      </c>
      <c r="G38" s="76">
        <f t="shared" si="1"/>
        <v>-110401</v>
      </c>
      <c r="H38" s="76">
        <f t="shared" si="5"/>
        <v>164699</v>
      </c>
      <c r="I38" s="76">
        <v>164699</v>
      </c>
      <c r="J38" s="76">
        <f t="shared" si="6"/>
        <v>0</v>
      </c>
      <c r="K38" s="62">
        <f t="shared" si="8"/>
        <v>-19714</v>
      </c>
      <c r="L38" s="62">
        <f t="shared" si="3"/>
        <v>0</v>
      </c>
      <c r="M38" s="62">
        <f t="shared" si="4"/>
        <v>-90687</v>
      </c>
      <c r="O38" s="62">
        <v>0</v>
      </c>
      <c r="P38" s="76">
        <v>57369</v>
      </c>
      <c r="Q38" s="62">
        <v>0</v>
      </c>
      <c r="S38" s="76">
        <v>-2197</v>
      </c>
      <c r="T38" s="62">
        <v>0</v>
      </c>
      <c r="U38" s="76">
        <v>-364869</v>
      </c>
      <c r="W38" s="76">
        <v>776197</v>
      </c>
      <c r="X38" s="76"/>
      <c r="Y38" s="76">
        <v>64425</v>
      </c>
    </row>
    <row r="39" spans="1:25" ht="20.100000000000001" customHeight="1" x14ac:dyDescent="0.25">
      <c r="A39" s="57">
        <v>133</v>
      </c>
      <c r="B39" s="79" t="s">
        <v>141</v>
      </c>
      <c r="C39" s="59">
        <v>1.813381E-2</v>
      </c>
      <c r="D39" s="59">
        <v>1.8394678186215749E-2</v>
      </c>
      <c r="E39" s="75">
        <f t="shared" si="7"/>
        <v>10045441</v>
      </c>
      <c r="F39" s="76">
        <v>10189952</v>
      </c>
      <c r="G39" s="76">
        <f t="shared" si="1"/>
        <v>144511</v>
      </c>
      <c r="H39" s="76">
        <f t="shared" si="5"/>
        <v>1414872</v>
      </c>
      <c r="I39" s="76">
        <v>1414872</v>
      </c>
      <c r="J39" s="76">
        <f t="shared" si="6"/>
        <v>0</v>
      </c>
      <c r="K39" s="62">
        <f t="shared" si="8"/>
        <v>25806</v>
      </c>
      <c r="L39" s="62">
        <f t="shared" si="3"/>
        <v>118705</v>
      </c>
      <c r="M39" s="62">
        <f t="shared" si="4"/>
        <v>0</v>
      </c>
      <c r="O39" s="62">
        <v>0</v>
      </c>
      <c r="P39" s="76">
        <v>492835</v>
      </c>
      <c r="Q39" s="62">
        <v>0</v>
      </c>
      <c r="S39" s="76">
        <v>-18871</v>
      </c>
      <c r="T39" s="62">
        <v>0</v>
      </c>
      <c r="U39" s="76">
        <v>-3134461</v>
      </c>
      <c r="W39" s="76">
        <v>6668039</v>
      </c>
      <c r="X39" s="76"/>
      <c r="Y39" s="76">
        <v>553456</v>
      </c>
    </row>
    <row r="40" spans="1:25" ht="20.100000000000001" customHeight="1" x14ac:dyDescent="0.25">
      <c r="A40" s="57">
        <v>134</v>
      </c>
      <c r="B40" s="78" t="s">
        <v>142</v>
      </c>
      <c r="C40" s="59">
        <v>1.5751590999999999E-2</v>
      </c>
      <c r="D40" s="59">
        <v>1.5610552003226806E-2</v>
      </c>
      <c r="E40" s="75">
        <f t="shared" si="7"/>
        <v>8725782</v>
      </c>
      <c r="F40" s="76">
        <v>8647652</v>
      </c>
      <c r="G40" s="76">
        <f t="shared" si="1"/>
        <v>-78130</v>
      </c>
      <c r="H40" s="76">
        <f t="shared" si="5"/>
        <v>1200724</v>
      </c>
      <c r="I40" s="76">
        <v>1200724</v>
      </c>
      <c r="J40" s="76">
        <f t="shared" si="6"/>
        <v>0</v>
      </c>
      <c r="K40" s="62">
        <f t="shared" si="8"/>
        <v>-13952</v>
      </c>
      <c r="L40" s="62">
        <f t="shared" si="3"/>
        <v>0</v>
      </c>
      <c r="M40" s="62">
        <f t="shared" si="4"/>
        <v>-64178</v>
      </c>
      <c r="O40" s="62">
        <v>0</v>
      </c>
      <c r="P40" s="76">
        <v>418242</v>
      </c>
      <c r="Q40" s="62">
        <v>0</v>
      </c>
      <c r="S40" s="76">
        <v>-16015</v>
      </c>
      <c r="T40" s="62">
        <v>0</v>
      </c>
      <c r="U40" s="76">
        <v>-2660045</v>
      </c>
      <c r="W40" s="76">
        <v>5658798</v>
      </c>
      <c r="X40" s="76"/>
      <c r="Y40" s="76">
        <v>469688</v>
      </c>
    </row>
    <row r="41" spans="1:25" ht="20.100000000000001" customHeight="1" x14ac:dyDescent="0.25">
      <c r="A41" s="57">
        <v>135</v>
      </c>
      <c r="B41" s="79" t="s">
        <v>143</v>
      </c>
      <c r="C41" s="59">
        <v>1.9851965999999999E-2</v>
      </c>
      <c r="D41" s="59">
        <v>2.0054860770485287E-2</v>
      </c>
      <c r="E41" s="75">
        <f t="shared" si="7"/>
        <v>10997234</v>
      </c>
      <c r="F41" s="76">
        <v>11109630</v>
      </c>
      <c r="G41" s="76">
        <f t="shared" si="1"/>
        <v>112396</v>
      </c>
      <c r="H41" s="76">
        <f t="shared" si="5"/>
        <v>1542569</v>
      </c>
      <c r="I41" s="76">
        <v>1542569</v>
      </c>
      <c r="J41" s="76">
        <f t="shared" si="6"/>
        <v>0</v>
      </c>
      <c r="K41" s="62">
        <f t="shared" si="8"/>
        <v>20071</v>
      </c>
      <c r="L41" s="62">
        <f t="shared" si="3"/>
        <v>92325</v>
      </c>
      <c r="M41" s="62">
        <f t="shared" si="4"/>
        <v>0</v>
      </c>
      <c r="O41" s="62">
        <v>0</v>
      </c>
      <c r="P41" s="76">
        <v>537315</v>
      </c>
      <c r="Q41" s="62">
        <v>0</v>
      </c>
      <c r="S41" s="76">
        <v>-20575</v>
      </c>
      <c r="T41" s="62">
        <v>0</v>
      </c>
      <c r="U41" s="76">
        <v>-3417357</v>
      </c>
      <c r="W41" s="76">
        <v>7269852</v>
      </c>
      <c r="X41" s="76"/>
      <c r="Y41" s="76">
        <v>603407</v>
      </c>
    </row>
    <row r="42" spans="1:25" ht="20.100000000000001" customHeight="1" x14ac:dyDescent="0.25">
      <c r="A42" s="57">
        <v>136</v>
      </c>
      <c r="B42" s="79" t="s">
        <v>144</v>
      </c>
      <c r="C42" s="59">
        <v>1.7272699999999998E-2</v>
      </c>
      <c r="D42" s="59">
        <v>1.7550385557971553E-2</v>
      </c>
      <c r="E42" s="75">
        <f t="shared" si="7"/>
        <v>9568419</v>
      </c>
      <c r="F42" s="76">
        <v>9722246</v>
      </c>
      <c r="G42" s="76">
        <f t="shared" si="1"/>
        <v>153827</v>
      </c>
      <c r="H42" s="76">
        <f t="shared" si="5"/>
        <v>1349931</v>
      </c>
      <c r="I42" s="76">
        <v>1349931</v>
      </c>
      <c r="J42" s="76">
        <f t="shared" si="6"/>
        <v>0</v>
      </c>
      <c r="K42" s="62">
        <f t="shared" si="8"/>
        <v>27469</v>
      </c>
      <c r="L42" s="62">
        <f t="shared" si="3"/>
        <v>126358</v>
      </c>
      <c r="M42" s="62">
        <f t="shared" si="4"/>
        <v>0</v>
      </c>
      <c r="O42" s="62">
        <v>0</v>
      </c>
      <c r="P42" s="76">
        <v>470215</v>
      </c>
      <c r="Q42" s="62">
        <v>0</v>
      </c>
      <c r="S42" s="76">
        <v>-18005</v>
      </c>
      <c r="T42" s="62">
        <v>0</v>
      </c>
      <c r="U42" s="76">
        <v>-2990593</v>
      </c>
      <c r="W42" s="76">
        <v>6361984</v>
      </c>
      <c r="X42" s="76"/>
      <c r="Y42" s="76">
        <v>528053</v>
      </c>
    </row>
    <row r="43" spans="1:25" ht="20.100000000000001" customHeight="1" x14ac:dyDescent="0.25">
      <c r="A43" s="57">
        <v>137</v>
      </c>
      <c r="B43" s="79" t="s">
        <v>145</v>
      </c>
      <c r="C43" s="59">
        <v>1.0930558E-2</v>
      </c>
      <c r="D43" s="59">
        <v>1.0652561755950604E-2</v>
      </c>
      <c r="E43" s="75">
        <f t="shared" si="7"/>
        <v>6055113</v>
      </c>
      <c r="F43" s="76">
        <v>5901114</v>
      </c>
      <c r="G43" s="76">
        <f t="shared" si="1"/>
        <v>-153999</v>
      </c>
      <c r="H43" s="76">
        <f t="shared" si="5"/>
        <v>819368</v>
      </c>
      <c r="I43" s="76">
        <v>819368</v>
      </c>
      <c r="J43" s="76">
        <f t="shared" si="6"/>
        <v>0</v>
      </c>
      <c r="K43" s="62">
        <f t="shared" si="8"/>
        <v>-27500</v>
      </c>
      <c r="L43" s="62">
        <f t="shared" si="3"/>
        <v>0</v>
      </c>
      <c r="M43" s="62">
        <f t="shared" si="4"/>
        <v>-126499</v>
      </c>
      <c r="O43" s="62">
        <v>0</v>
      </c>
      <c r="P43" s="76">
        <v>285406</v>
      </c>
      <c r="Q43" s="62">
        <v>0</v>
      </c>
      <c r="S43" s="76">
        <v>-10929</v>
      </c>
      <c r="T43" s="62">
        <v>0</v>
      </c>
      <c r="U43" s="76">
        <v>-1815201</v>
      </c>
      <c r="W43" s="76">
        <v>3861535</v>
      </c>
      <c r="X43" s="76"/>
      <c r="Y43" s="76">
        <v>320512</v>
      </c>
    </row>
    <row r="44" spans="1:25" ht="20.100000000000001" customHeight="1" x14ac:dyDescent="0.25">
      <c r="A44" s="57">
        <v>138</v>
      </c>
      <c r="B44" s="79" t="s">
        <v>146</v>
      </c>
      <c r="C44" s="59">
        <v>2.3228110000000001E-3</v>
      </c>
      <c r="D44" s="59">
        <v>2.3467098673224606E-3</v>
      </c>
      <c r="E44" s="75">
        <f t="shared" si="7"/>
        <v>1286749</v>
      </c>
      <c r="F44" s="76">
        <v>1299988</v>
      </c>
      <c r="G44" s="76">
        <f t="shared" si="1"/>
        <v>13239</v>
      </c>
      <c r="H44" s="76">
        <f t="shared" si="5"/>
        <v>180503</v>
      </c>
      <c r="I44" s="76">
        <v>180503</v>
      </c>
      <c r="J44" s="76">
        <f t="shared" si="6"/>
        <v>0</v>
      </c>
      <c r="K44" s="62">
        <f t="shared" si="8"/>
        <v>2364</v>
      </c>
      <c r="L44" s="62">
        <f t="shared" si="3"/>
        <v>10875</v>
      </c>
      <c r="M44" s="62">
        <f t="shared" si="4"/>
        <v>0</v>
      </c>
      <c r="O44" s="62">
        <v>0</v>
      </c>
      <c r="P44" s="76">
        <v>62874</v>
      </c>
      <c r="Q44" s="62">
        <v>0</v>
      </c>
      <c r="S44" s="76">
        <v>-2408</v>
      </c>
      <c r="T44" s="62">
        <v>0</v>
      </c>
      <c r="U44" s="76">
        <v>-399880</v>
      </c>
      <c r="W44" s="76">
        <v>850678</v>
      </c>
      <c r="X44" s="76"/>
      <c r="Y44" s="76">
        <v>70607</v>
      </c>
    </row>
    <row r="45" spans="1:25" ht="20.100000000000001" customHeight="1" x14ac:dyDescent="0.25">
      <c r="A45" s="57">
        <v>139</v>
      </c>
      <c r="B45" s="78" t="s">
        <v>147</v>
      </c>
      <c r="C45" s="59">
        <v>4.9805830000000002E-3</v>
      </c>
      <c r="D45" s="59">
        <v>4.8796202452608475E-3</v>
      </c>
      <c r="E45" s="75">
        <f t="shared" si="7"/>
        <v>2759054</v>
      </c>
      <c r="F45" s="76">
        <v>2703124</v>
      </c>
      <c r="G45" s="76">
        <f t="shared" si="1"/>
        <v>-55930</v>
      </c>
      <c r="H45" s="76">
        <f t="shared" si="5"/>
        <v>375328</v>
      </c>
      <c r="I45" s="76">
        <v>375328</v>
      </c>
      <c r="J45" s="76">
        <f t="shared" si="6"/>
        <v>0</v>
      </c>
      <c r="K45" s="62">
        <f t="shared" si="8"/>
        <v>-9988</v>
      </c>
      <c r="L45" s="62">
        <f t="shared" si="3"/>
        <v>0</v>
      </c>
      <c r="M45" s="62">
        <f t="shared" si="4"/>
        <v>-45942</v>
      </c>
      <c r="O45" s="62">
        <v>0</v>
      </c>
      <c r="P45" s="76">
        <v>130736</v>
      </c>
      <c r="Q45" s="62">
        <v>0</v>
      </c>
      <c r="S45" s="76">
        <v>-5006</v>
      </c>
      <c r="T45" s="62">
        <v>0</v>
      </c>
      <c r="U45" s="76">
        <v>-831489</v>
      </c>
      <c r="W45" s="76">
        <v>1768854</v>
      </c>
      <c r="X45" s="76"/>
      <c r="Y45" s="76">
        <v>146817</v>
      </c>
    </row>
    <row r="46" spans="1:25" ht="20.100000000000001" customHeight="1" x14ac:dyDescent="0.25">
      <c r="A46" s="57">
        <v>140</v>
      </c>
      <c r="B46" s="79" t="s">
        <v>148</v>
      </c>
      <c r="C46" s="59">
        <v>1.4852021999999999E-2</v>
      </c>
      <c r="D46" s="59">
        <v>1.4834069085115394E-2</v>
      </c>
      <c r="E46" s="75">
        <f t="shared" si="7"/>
        <v>8227455</v>
      </c>
      <c r="F46" s="76">
        <v>8217510</v>
      </c>
      <c r="G46" s="76">
        <f t="shared" si="1"/>
        <v>-9945</v>
      </c>
      <c r="H46" s="76">
        <f t="shared" si="5"/>
        <v>1140999</v>
      </c>
      <c r="I46" s="76">
        <v>1140999</v>
      </c>
      <c r="J46" s="76">
        <f t="shared" si="6"/>
        <v>0</v>
      </c>
      <c r="K46" s="62">
        <f t="shared" si="8"/>
        <v>-1776</v>
      </c>
      <c r="L46" s="62">
        <f t="shared" si="3"/>
        <v>0</v>
      </c>
      <c r="M46" s="62">
        <f t="shared" si="4"/>
        <v>-8169</v>
      </c>
      <c r="O46" s="62">
        <v>0</v>
      </c>
      <c r="P46" s="76">
        <v>397438</v>
      </c>
      <c r="Q46" s="62">
        <v>0</v>
      </c>
      <c r="S46" s="76">
        <v>-15219</v>
      </c>
      <c r="T46" s="62">
        <v>0</v>
      </c>
      <c r="U46" s="76">
        <v>-2527732</v>
      </c>
      <c r="W46" s="76">
        <v>5377325</v>
      </c>
      <c r="X46" s="76"/>
      <c r="Y46" s="76">
        <v>446325</v>
      </c>
    </row>
    <row r="47" spans="1:25" ht="20.100000000000001" customHeight="1" x14ac:dyDescent="0.25">
      <c r="A47" s="57">
        <v>141</v>
      </c>
      <c r="B47" s="80" t="s">
        <v>149</v>
      </c>
      <c r="C47" s="59">
        <v>2.9829019999999999E-3</v>
      </c>
      <c r="D47" s="59">
        <v>3.0993608241631594E-3</v>
      </c>
      <c r="E47" s="75">
        <f t="shared" si="7"/>
        <v>1652414</v>
      </c>
      <c r="F47" s="76">
        <v>1716928</v>
      </c>
      <c r="G47" s="76">
        <f t="shared" si="1"/>
        <v>64514</v>
      </c>
      <c r="H47" s="76">
        <f t="shared" si="5"/>
        <v>238395</v>
      </c>
      <c r="I47" s="76">
        <v>238395</v>
      </c>
      <c r="J47" s="76">
        <f t="shared" si="6"/>
        <v>0</v>
      </c>
      <c r="K47" s="62">
        <f t="shared" si="8"/>
        <v>11520</v>
      </c>
      <c r="L47" s="62">
        <f t="shared" si="3"/>
        <v>52994</v>
      </c>
      <c r="M47" s="62">
        <f t="shared" si="4"/>
        <v>0</v>
      </c>
      <c r="O47" s="62">
        <v>0</v>
      </c>
      <c r="P47" s="76">
        <v>83039</v>
      </c>
      <c r="Q47" s="62">
        <v>0</v>
      </c>
      <c r="S47" s="76">
        <v>-3180</v>
      </c>
      <c r="T47" s="62">
        <v>0</v>
      </c>
      <c r="U47" s="76">
        <v>-528132</v>
      </c>
      <c r="W47" s="76">
        <v>1123513</v>
      </c>
      <c r="X47" s="76"/>
      <c r="Y47" s="76">
        <v>93253</v>
      </c>
    </row>
    <row r="48" spans="1:25" ht="20.100000000000001" customHeight="1" x14ac:dyDescent="0.25">
      <c r="A48" s="57">
        <v>142</v>
      </c>
      <c r="B48" s="74" t="s">
        <v>150</v>
      </c>
      <c r="C48" s="59">
        <v>6.4906586000000002E-2</v>
      </c>
      <c r="D48" s="59">
        <v>6.4715840660402313E-2</v>
      </c>
      <c r="E48" s="75">
        <f t="shared" si="7"/>
        <v>35955780</v>
      </c>
      <c r="F48" s="76">
        <v>35850114</v>
      </c>
      <c r="G48" s="76">
        <f t="shared" si="1"/>
        <v>-105666</v>
      </c>
      <c r="H48" s="76">
        <f t="shared" si="5"/>
        <v>4977778</v>
      </c>
      <c r="I48" s="76">
        <v>4977778</v>
      </c>
      <c r="J48" s="76">
        <f t="shared" si="6"/>
        <v>0</v>
      </c>
      <c r="K48" s="62">
        <f t="shared" si="8"/>
        <v>-18869</v>
      </c>
      <c r="L48" s="62">
        <f t="shared" si="3"/>
        <v>0</v>
      </c>
      <c r="M48" s="62">
        <f t="shared" si="4"/>
        <v>-86797</v>
      </c>
      <c r="O48" s="62">
        <v>0</v>
      </c>
      <c r="P48" s="76">
        <v>1733884</v>
      </c>
      <c r="Q48" s="62">
        <v>0</v>
      </c>
      <c r="S48" s="76">
        <v>-66393</v>
      </c>
      <c r="T48" s="62">
        <v>0</v>
      </c>
      <c r="U48" s="76">
        <v>-11027606</v>
      </c>
      <c r="W48" s="76">
        <v>23459379</v>
      </c>
      <c r="X48" s="76"/>
      <c r="Y48" s="76">
        <v>1947159</v>
      </c>
    </row>
    <row r="49" spans="1:25" ht="20.100000000000001" customHeight="1" x14ac:dyDescent="0.25">
      <c r="A49" s="57">
        <v>143</v>
      </c>
      <c r="B49" s="74" t="s">
        <v>151</v>
      </c>
      <c r="C49" s="59">
        <v>5.0584890000000002E-3</v>
      </c>
      <c r="D49" s="59">
        <v>5.0431459137678953E-3</v>
      </c>
      <c r="E49" s="75">
        <f t="shared" si="7"/>
        <v>2802210</v>
      </c>
      <c r="F49" s="76">
        <v>2793711</v>
      </c>
      <c r="G49" s="76">
        <f t="shared" si="1"/>
        <v>-8499</v>
      </c>
      <c r="H49" s="76">
        <f t="shared" si="5"/>
        <v>387906</v>
      </c>
      <c r="I49" s="76">
        <v>387906</v>
      </c>
      <c r="J49" s="76">
        <f t="shared" si="6"/>
        <v>0</v>
      </c>
      <c r="K49" s="62">
        <f t="shared" si="8"/>
        <v>-1518</v>
      </c>
      <c r="L49" s="62">
        <f t="shared" si="3"/>
        <v>0</v>
      </c>
      <c r="M49" s="62">
        <f t="shared" si="4"/>
        <v>-6981</v>
      </c>
      <c r="O49" s="62">
        <v>0</v>
      </c>
      <c r="P49" s="76">
        <v>135117</v>
      </c>
      <c r="Q49" s="62">
        <v>0</v>
      </c>
      <c r="S49" s="76">
        <v>-5174</v>
      </c>
      <c r="T49" s="62">
        <v>0</v>
      </c>
      <c r="U49" s="76">
        <v>-859354</v>
      </c>
      <c r="W49" s="76">
        <v>1828132</v>
      </c>
      <c r="X49" s="76"/>
      <c r="Y49" s="76">
        <v>151737</v>
      </c>
    </row>
    <row r="50" spans="1:25" ht="20.100000000000001" customHeight="1" x14ac:dyDescent="0.25">
      <c r="A50" s="57">
        <v>144</v>
      </c>
      <c r="B50" s="74" t="s">
        <v>152</v>
      </c>
      <c r="C50" s="59">
        <v>3.7492210000000001E-3</v>
      </c>
      <c r="D50" s="59">
        <v>3.744975550767104E-3</v>
      </c>
      <c r="E50" s="75">
        <f t="shared" si="7"/>
        <v>2076926</v>
      </c>
      <c r="F50" s="76">
        <v>2074574</v>
      </c>
      <c r="G50" s="76">
        <f t="shared" si="1"/>
        <v>-2352</v>
      </c>
      <c r="H50" s="76">
        <f t="shared" si="5"/>
        <v>288054</v>
      </c>
      <c r="I50" s="76">
        <v>288054</v>
      </c>
      <c r="J50" s="76">
        <f t="shared" si="6"/>
        <v>0</v>
      </c>
      <c r="K50" s="62">
        <f t="shared" si="8"/>
        <v>-420</v>
      </c>
      <c r="L50" s="62">
        <f t="shared" si="3"/>
        <v>0</v>
      </c>
      <c r="M50" s="62">
        <f t="shared" si="4"/>
        <v>-1932</v>
      </c>
      <c r="O50" s="62">
        <v>0</v>
      </c>
      <c r="P50" s="76">
        <v>100336</v>
      </c>
      <c r="Q50" s="62">
        <v>0</v>
      </c>
      <c r="S50" s="76">
        <v>-3842</v>
      </c>
      <c r="T50" s="62">
        <v>0</v>
      </c>
      <c r="U50" s="76">
        <v>-638145</v>
      </c>
      <c r="W50" s="76">
        <v>1357547</v>
      </c>
      <c r="X50" s="76"/>
      <c r="Y50" s="76">
        <v>112678</v>
      </c>
    </row>
    <row r="51" spans="1:25" ht="20.100000000000001" customHeight="1" x14ac:dyDescent="0.25">
      <c r="A51" s="57">
        <v>145</v>
      </c>
      <c r="B51" s="74" t="s">
        <v>153</v>
      </c>
      <c r="C51" s="59">
        <v>1.7820418000000001E-2</v>
      </c>
      <c r="D51" s="59">
        <v>1.8092471515386233E-2</v>
      </c>
      <c r="E51" s="75">
        <f t="shared" si="7"/>
        <v>9871834</v>
      </c>
      <c r="F51" s="76">
        <v>10022541</v>
      </c>
      <c r="G51" s="76">
        <f t="shared" si="1"/>
        <v>150707</v>
      </c>
      <c r="H51" s="76">
        <f t="shared" si="5"/>
        <v>1391627</v>
      </c>
      <c r="I51" s="76">
        <v>1391627</v>
      </c>
      <c r="J51" s="76">
        <f t="shared" si="6"/>
        <v>0</v>
      </c>
      <c r="K51" s="62">
        <f t="shared" si="8"/>
        <v>26912</v>
      </c>
      <c r="L51" s="62">
        <f t="shared" si="3"/>
        <v>123795</v>
      </c>
      <c r="M51" s="62">
        <f t="shared" si="4"/>
        <v>0</v>
      </c>
      <c r="O51" s="62">
        <v>0</v>
      </c>
      <c r="P51" s="76">
        <v>484738</v>
      </c>
      <c r="Q51" s="62">
        <v>0</v>
      </c>
      <c r="S51" s="76">
        <v>-18561</v>
      </c>
      <c r="T51" s="62">
        <v>0</v>
      </c>
      <c r="U51" s="76">
        <v>-3082965</v>
      </c>
      <c r="W51" s="76">
        <v>6558490</v>
      </c>
      <c r="X51" s="76"/>
      <c r="Y51" s="76">
        <v>544363</v>
      </c>
    </row>
    <row r="52" spans="1:25" ht="20.100000000000001" customHeight="1" x14ac:dyDescent="0.25">
      <c r="A52" s="57">
        <v>146</v>
      </c>
      <c r="B52" s="74" t="s">
        <v>154</v>
      </c>
      <c r="C52" s="59">
        <v>5.8180734999999997E-2</v>
      </c>
      <c r="D52" s="59">
        <v>5.7205204023024966E-2</v>
      </c>
      <c r="E52" s="75">
        <f t="shared" si="7"/>
        <v>32229914</v>
      </c>
      <c r="F52" s="76">
        <v>31689507</v>
      </c>
      <c r="G52" s="76">
        <f t="shared" si="1"/>
        <v>-540407</v>
      </c>
      <c r="H52" s="76">
        <f t="shared" si="5"/>
        <v>4400079</v>
      </c>
      <c r="I52" s="76">
        <v>4400079</v>
      </c>
      <c r="J52" s="76">
        <f t="shared" si="6"/>
        <v>0</v>
      </c>
      <c r="K52" s="62">
        <f t="shared" si="8"/>
        <v>-96501</v>
      </c>
      <c r="L52" s="62">
        <f t="shared" si="3"/>
        <v>0</v>
      </c>
      <c r="M52" s="62">
        <f t="shared" si="4"/>
        <v>-443906</v>
      </c>
      <c r="O52" s="62">
        <v>0</v>
      </c>
      <c r="P52" s="76">
        <v>1532657</v>
      </c>
      <c r="Q52" s="62">
        <v>0</v>
      </c>
      <c r="S52" s="76">
        <v>-58688</v>
      </c>
      <c r="T52" s="62">
        <v>0</v>
      </c>
      <c r="U52" s="76">
        <v>-9747791</v>
      </c>
      <c r="W52" s="76">
        <v>20736787</v>
      </c>
      <c r="X52" s="76"/>
      <c r="Y52" s="76">
        <v>1721181</v>
      </c>
    </row>
    <row r="53" spans="1:25" ht="20.100000000000001" customHeight="1" x14ac:dyDescent="0.25">
      <c r="A53" s="57">
        <v>147</v>
      </c>
      <c r="B53" s="74" t="s">
        <v>155</v>
      </c>
      <c r="C53" s="59">
        <v>3.5554549999999999E-3</v>
      </c>
      <c r="D53" s="59">
        <v>3.6468695365889934E-3</v>
      </c>
      <c r="E53" s="75">
        <f t="shared" si="7"/>
        <v>1969587</v>
      </c>
      <c r="F53" s="76">
        <v>2020227</v>
      </c>
      <c r="G53" s="76">
        <f t="shared" si="1"/>
        <v>50640</v>
      </c>
      <c r="H53" s="76">
        <f t="shared" si="5"/>
        <v>280508</v>
      </c>
      <c r="I53" s="76">
        <v>280508</v>
      </c>
      <c r="J53" s="76">
        <f t="shared" si="6"/>
        <v>0</v>
      </c>
      <c r="K53" s="62">
        <f t="shared" si="8"/>
        <v>9043</v>
      </c>
      <c r="L53" s="62">
        <f t="shared" si="3"/>
        <v>41597</v>
      </c>
      <c r="M53" s="62">
        <f t="shared" si="4"/>
        <v>0</v>
      </c>
      <c r="O53" s="62">
        <v>0</v>
      </c>
      <c r="P53" s="76">
        <v>97708</v>
      </c>
      <c r="Q53" s="62">
        <v>0</v>
      </c>
      <c r="S53" s="76">
        <v>-3741</v>
      </c>
      <c r="T53" s="62">
        <v>0</v>
      </c>
      <c r="U53" s="76">
        <v>-621428</v>
      </c>
      <c r="W53" s="76">
        <v>1321984</v>
      </c>
      <c r="X53" s="76"/>
      <c r="Y53" s="76">
        <v>109726</v>
      </c>
    </row>
    <row r="54" spans="1:25" ht="20.100000000000001" customHeight="1" x14ac:dyDescent="0.25">
      <c r="A54" s="57">
        <v>148</v>
      </c>
      <c r="B54" s="74" t="s">
        <v>156</v>
      </c>
      <c r="C54" s="59">
        <v>3.1734760000000002E-3</v>
      </c>
      <c r="D54" s="59">
        <v>3.1191221088193092E-3</v>
      </c>
      <c r="E54" s="75">
        <f t="shared" si="7"/>
        <v>1757985</v>
      </c>
      <c r="F54" s="76">
        <v>1727875</v>
      </c>
      <c r="G54" s="76">
        <f t="shared" si="1"/>
        <v>-30110</v>
      </c>
      <c r="H54" s="76">
        <f t="shared" si="5"/>
        <v>239915</v>
      </c>
      <c r="I54" s="76">
        <v>239915</v>
      </c>
      <c r="J54" s="76">
        <f t="shared" si="6"/>
        <v>0</v>
      </c>
      <c r="K54" s="62">
        <f t="shared" si="8"/>
        <v>-5377</v>
      </c>
      <c r="L54" s="62">
        <f t="shared" si="3"/>
        <v>0</v>
      </c>
      <c r="M54" s="62">
        <f t="shared" si="4"/>
        <v>-24733</v>
      </c>
      <c r="O54" s="62">
        <v>0</v>
      </c>
      <c r="P54" s="76">
        <v>83568</v>
      </c>
      <c r="Q54" s="62">
        <v>0</v>
      </c>
      <c r="S54" s="76">
        <v>-3200</v>
      </c>
      <c r="T54" s="62">
        <v>0</v>
      </c>
      <c r="U54" s="76">
        <v>-531500</v>
      </c>
      <c r="W54" s="76">
        <v>1130677</v>
      </c>
      <c r="X54" s="76"/>
      <c r="Y54" s="76">
        <v>93848</v>
      </c>
    </row>
    <row r="55" spans="1:25" x14ac:dyDescent="0.25">
      <c r="A55" s="57">
        <v>149</v>
      </c>
      <c r="B55" s="74" t="s">
        <v>157</v>
      </c>
      <c r="C55" s="59">
        <v>3.0976123000000001E-2</v>
      </c>
      <c r="D55" s="59">
        <v>3.1260783626260578E-2</v>
      </c>
      <c r="E55" s="75">
        <f t="shared" si="7"/>
        <v>17159594</v>
      </c>
      <c r="F55" s="76">
        <v>17317285</v>
      </c>
      <c r="G55" s="76">
        <f t="shared" si="1"/>
        <v>157691</v>
      </c>
      <c r="H55" s="76">
        <f t="shared" si="5"/>
        <v>2404500</v>
      </c>
      <c r="I55" s="76">
        <v>2404500</v>
      </c>
      <c r="J55" s="76">
        <f t="shared" si="6"/>
        <v>0</v>
      </c>
      <c r="K55" s="62">
        <f t="shared" si="8"/>
        <v>28159</v>
      </c>
      <c r="L55" s="62">
        <f t="shared" si="3"/>
        <v>129532</v>
      </c>
      <c r="M55" s="62">
        <f t="shared" si="4"/>
        <v>0</v>
      </c>
      <c r="O55" s="62">
        <v>0</v>
      </c>
      <c r="P55" s="76">
        <v>837547</v>
      </c>
      <c r="Q55" s="62">
        <v>0</v>
      </c>
      <c r="S55" s="76">
        <v>-32071</v>
      </c>
      <c r="T55" s="62">
        <v>0</v>
      </c>
      <c r="U55" s="76">
        <v>-5326851</v>
      </c>
      <c r="W55" s="76">
        <v>11331979</v>
      </c>
      <c r="X55" s="76"/>
      <c r="Y55" s="76">
        <v>940569</v>
      </c>
    </row>
    <row r="56" spans="1:25" x14ac:dyDescent="0.25">
      <c r="E56" s="75"/>
      <c r="U56" s="76"/>
      <c r="W56" s="62"/>
      <c r="X56" s="62"/>
      <c r="Y56" s="76"/>
    </row>
    <row r="57" spans="1:25" x14ac:dyDescent="0.25">
      <c r="C57" s="81">
        <f t="shared" ref="C57:H57" si="9">SUM(C7:C56)</f>
        <v>1.0000000009999999</v>
      </c>
      <c r="D57" s="81">
        <f t="shared" si="9"/>
        <v>1</v>
      </c>
      <c r="E57" s="75">
        <f t="shared" si="9"/>
        <v>553961961</v>
      </c>
      <c r="F57" s="75">
        <f t="shared" si="9"/>
        <v>553961961</v>
      </c>
      <c r="G57" s="60">
        <f t="shared" si="9"/>
        <v>0</v>
      </c>
      <c r="H57" s="75">
        <f t="shared" si="9"/>
        <v>76917460</v>
      </c>
      <c r="J57" s="60">
        <f>SUM(J7:J56)</f>
        <v>0</v>
      </c>
      <c r="K57" s="60">
        <f>SUM(K7:K56)</f>
        <v>0</v>
      </c>
      <c r="L57" s="76">
        <f t="shared" ref="L57" si="10">SUM(L7:L56)</f>
        <v>3205189</v>
      </c>
      <c r="M57" s="76">
        <f>SUM(M7:M56)</f>
        <v>-3205189</v>
      </c>
      <c r="O57" s="76">
        <f>SUM(O7:O56)</f>
        <v>0</v>
      </c>
      <c r="P57" s="76">
        <f>SUM(P7:P56)</f>
        <v>26792260</v>
      </c>
      <c r="Q57" s="76">
        <f>SUM(Q7:Q56)</f>
        <v>0</v>
      </c>
      <c r="S57" s="76">
        <f>SUM(S7:S56)</f>
        <v>-1025916</v>
      </c>
      <c r="T57" s="76">
        <f>SUM(T7:T56)</f>
        <v>0</v>
      </c>
      <c r="U57" s="76">
        <f>SUM(U7:U56)+U61</f>
        <v>-170400421</v>
      </c>
      <c r="V57" s="76"/>
      <c r="W57" s="76">
        <f>SUM(W7:W56)+W61</f>
        <v>362498253</v>
      </c>
      <c r="X57" s="76"/>
      <c r="Y57" s="76">
        <f>SUM(Y7:Y56)+Y61</f>
        <v>30087829</v>
      </c>
    </row>
    <row r="58" spans="1:25" x14ac:dyDescent="0.25">
      <c r="C58" s="81"/>
      <c r="D58" s="81"/>
      <c r="E58" s="75"/>
      <c r="F58" s="75"/>
      <c r="H58" s="75"/>
      <c r="K58" s="60"/>
      <c r="L58" s="76"/>
      <c r="M58" s="76"/>
      <c r="O58" s="76"/>
      <c r="P58" s="76"/>
      <c r="Q58" s="76"/>
      <c r="S58" s="76"/>
      <c r="T58" s="76"/>
      <c r="U58" s="76"/>
      <c r="V58" s="76"/>
      <c r="W58" s="76"/>
      <c r="X58" s="76"/>
      <c r="Y58" s="76"/>
    </row>
    <row r="59" spans="1:25" x14ac:dyDescent="0.25">
      <c r="K59" s="60"/>
      <c r="L59" s="76"/>
      <c r="M59" s="76"/>
      <c r="O59" t="s">
        <v>60</v>
      </c>
      <c r="P59" s="61"/>
      <c r="Q59" s="81"/>
      <c r="R59" s="81"/>
      <c r="S59" s="75"/>
      <c r="T59" s="75"/>
      <c r="U59" s="60">
        <v>5.6</v>
      </c>
      <c r="V59" s="44" t="s">
        <v>61</v>
      </c>
      <c r="W59" s="76"/>
      <c r="X59" s="76"/>
      <c r="Y59" s="76"/>
    </row>
    <row r="60" spans="1:25" x14ac:dyDescent="0.25">
      <c r="U60" s="76"/>
    </row>
    <row r="61" spans="1:25" x14ac:dyDescent="0.25">
      <c r="B61" s="61" t="s">
        <v>158</v>
      </c>
      <c r="U61" s="76">
        <v>-1</v>
      </c>
      <c r="W61" s="61">
        <v>-1</v>
      </c>
      <c r="Y61" s="61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calculator</vt:lpstr>
      <vt:lpstr>Amort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2014'!Print_Titles</vt:lpstr>
      <vt:lpstr>'MFPRSI Supplemental Info 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Cody Jans</cp:lastModifiedBy>
  <cp:lastPrinted>2016-04-28T20:26:07Z</cp:lastPrinted>
  <dcterms:created xsi:type="dcterms:W3CDTF">2015-05-05T20:15:03Z</dcterms:created>
  <dcterms:modified xsi:type="dcterms:W3CDTF">2016-08-31T13:49:33Z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