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 FINANCIAL\Accounting\2025\GASB 68\"/>
    </mc:Choice>
  </mc:AlternateContent>
  <xr:revisionPtr revIDLastSave="0" documentId="13_ncr:1_{E6EEFAFD-0F3D-43D4-8908-9FAD7E4FAF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lculator" sheetId="1" r:id="rId1"/>
    <sheet name="Amort" sheetId="6" r:id="rId2"/>
    <sheet name="MFPRSI Supplemental info 2024" sheetId="15" r:id="rId3"/>
    <sheet name="MFPRSI Supplemental info 2023" sheetId="14" r:id="rId4"/>
    <sheet name="MFPRSI Supplemental info 2022" sheetId="13" r:id="rId5"/>
    <sheet name="MFPRSI Supplemental info 2021" sheetId="12" r:id="rId6"/>
    <sheet name="MFPRSI Supplemental info 2020" sheetId="11" r:id="rId7"/>
    <sheet name="MFPRSI Supplemental info 2019" sheetId="10" r:id="rId8"/>
    <sheet name="MFPRSI Supplemental Info 2018" sheetId="9" r:id="rId9"/>
    <sheet name="MFPRSI Supplemental Info 2017" sheetId="8" r:id="rId10"/>
    <sheet name="MFPRSI Supplemental Info 2016" sheetId="7" r:id="rId11"/>
    <sheet name="MFPRSI Supplemental Info 2015" sheetId="4" r:id="rId12"/>
    <sheet name="MFPRSI Supplemental Info 2014" sheetId="5" r:id="rId13"/>
  </sheets>
  <definedNames>
    <definedName name="_xlnm.Print_Area" localSheetId="12">'MFPRSI Supplemental Info 2014'!$A$1:$Y$59</definedName>
    <definedName name="_xlnm.Print_Area" localSheetId="11">'MFPRSI Supplemental Info 2015'!$A$1:$Y$59</definedName>
    <definedName name="_xlnm.Print_Area" localSheetId="10">'MFPRSI Supplemental Info 2016'!$A$1:$Y$59</definedName>
    <definedName name="_xlnm.Print_Area" localSheetId="9">'MFPRSI Supplemental Info 2017'!$A$1:$Y$59</definedName>
    <definedName name="_xlnm.Print_Area" localSheetId="8">'MFPRSI Supplemental Info 2018'!$A$1:$Y$60</definedName>
    <definedName name="_xlnm.Print_Titles" localSheetId="12">'MFPRSI Supplemental Info 2014'!$A:$B,'MFPRSI Supplemental Info 2014'!$1:$6</definedName>
    <definedName name="_xlnm.Print_Titles" localSheetId="11">'MFPRSI Supplemental Info 2015'!$A:$B,'MFPRSI Supplemental Info 2015'!$1:$6</definedName>
    <definedName name="_xlnm.Print_Titles" localSheetId="10">'MFPRSI Supplemental Info 2016'!$A:$B,'MFPRSI Supplemental Info 2016'!$1:$6</definedName>
    <definedName name="_xlnm.Print_Titles" localSheetId="9">'MFPRSI Supplemental Info 2017'!$A:$B,'MFPRSI Supplemental Info 2017'!$1:$6</definedName>
    <definedName name="_xlnm.Print_Titles" localSheetId="8">'MFPRSI Supplemental Info 2018'!$A:$B,'MFPRSI Supplemental Info 2018'!$1:$6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4" i="6" l="1"/>
  <c r="G25" i="6"/>
  <c r="G26" i="6"/>
  <c r="G27" i="6"/>
  <c r="G28" i="6"/>
  <c r="G29" i="6"/>
  <c r="G12" i="6"/>
  <c r="G13" i="6"/>
  <c r="G14" i="6"/>
  <c r="G15" i="6"/>
  <c r="G16" i="6"/>
  <c r="G17" i="6"/>
  <c r="I98" i="1"/>
  <c r="M54" i="1"/>
  <c r="M49" i="1"/>
  <c r="M47" i="1"/>
  <c r="M46" i="1"/>
  <c r="M45" i="1"/>
  <c r="M43" i="1"/>
  <c r="M42" i="1"/>
  <c r="M41" i="1"/>
  <c r="E51" i="1"/>
  <c r="M31" i="1"/>
  <c r="M26" i="1"/>
  <c r="K16" i="1"/>
  <c r="G16" i="1"/>
  <c r="K14" i="1"/>
  <c r="G14" i="1"/>
  <c r="O12" i="1"/>
  <c r="M12" i="1"/>
  <c r="K12" i="1"/>
  <c r="E8" i="15" l="1"/>
  <c r="E9" i="15"/>
  <c r="E10" i="15"/>
  <c r="E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8" i="15"/>
  <c r="E39" i="15"/>
  <c r="E40" i="15"/>
  <c r="E41" i="15"/>
  <c r="E42" i="15"/>
  <c r="E43" i="15"/>
  <c r="E44" i="15"/>
  <c r="E45" i="15"/>
  <c r="E46" i="15"/>
  <c r="E47" i="15"/>
  <c r="E48" i="15"/>
  <c r="E49" i="15"/>
  <c r="E50" i="15"/>
  <c r="E51" i="15"/>
  <c r="E52" i="15"/>
  <c r="E53" i="15"/>
  <c r="E54" i="15"/>
  <c r="E55" i="15"/>
  <c r="E7" i="15"/>
  <c r="C9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C46" i="15"/>
  <c r="C47" i="15"/>
  <c r="C48" i="15"/>
  <c r="C49" i="15"/>
  <c r="C50" i="15"/>
  <c r="C51" i="15"/>
  <c r="C52" i="15"/>
  <c r="C53" i="15"/>
  <c r="C54" i="15"/>
  <c r="C55" i="15"/>
  <c r="C8" i="15"/>
  <c r="C7" i="15"/>
  <c r="Y57" i="15"/>
  <c r="W57" i="15"/>
  <c r="U57" i="15"/>
  <c r="T57" i="15"/>
  <c r="S57" i="15"/>
  <c r="Q57" i="15"/>
  <c r="P57" i="15"/>
  <c r="O57" i="15"/>
  <c r="D57" i="15"/>
  <c r="H55" i="15"/>
  <c r="I55" i="15" s="1"/>
  <c r="J55" i="15" s="1"/>
  <c r="H54" i="15"/>
  <c r="I54" i="15" s="1"/>
  <c r="J54" i="15" s="1"/>
  <c r="H53" i="15"/>
  <c r="I53" i="15" s="1"/>
  <c r="J53" i="15" s="1"/>
  <c r="H52" i="15"/>
  <c r="I52" i="15" s="1"/>
  <c r="J52" i="15" s="1"/>
  <c r="H51" i="15"/>
  <c r="I51" i="15" s="1"/>
  <c r="H50" i="15"/>
  <c r="I50" i="15" s="1"/>
  <c r="J50" i="15" s="1"/>
  <c r="H49" i="15"/>
  <c r="H48" i="15"/>
  <c r="I48" i="15" s="1"/>
  <c r="J48" i="15" s="1"/>
  <c r="H47" i="15"/>
  <c r="I47" i="15" s="1"/>
  <c r="H46" i="15"/>
  <c r="I46" i="15" s="1"/>
  <c r="J46" i="15" s="1"/>
  <c r="H45" i="15"/>
  <c r="H44" i="15"/>
  <c r="I44" i="15" s="1"/>
  <c r="J44" i="15" s="1"/>
  <c r="I43" i="15"/>
  <c r="H43" i="15"/>
  <c r="H42" i="15"/>
  <c r="I42" i="15" s="1"/>
  <c r="J42" i="15" s="1"/>
  <c r="H41" i="15"/>
  <c r="I41" i="15" s="1"/>
  <c r="H40" i="15"/>
  <c r="I40" i="15" s="1"/>
  <c r="J40" i="15" s="1"/>
  <c r="H39" i="15"/>
  <c r="I39" i="15" s="1"/>
  <c r="H38" i="15"/>
  <c r="I38" i="15" s="1"/>
  <c r="J38" i="15" s="1"/>
  <c r="H37" i="15"/>
  <c r="I37" i="15" s="1"/>
  <c r="H36" i="15"/>
  <c r="I36" i="15" s="1"/>
  <c r="J36" i="15" s="1"/>
  <c r="H35" i="15"/>
  <c r="I35" i="15" s="1"/>
  <c r="H34" i="15"/>
  <c r="I34" i="15" s="1"/>
  <c r="J34" i="15" s="1"/>
  <c r="H33" i="15"/>
  <c r="I33" i="15" s="1"/>
  <c r="H32" i="15"/>
  <c r="I32" i="15" s="1"/>
  <c r="J32" i="15" s="1"/>
  <c r="H31" i="15"/>
  <c r="H30" i="15"/>
  <c r="H29" i="15"/>
  <c r="I29" i="15" s="1"/>
  <c r="H28" i="15"/>
  <c r="I28" i="15" s="1"/>
  <c r="J28" i="15" s="1"/>
  <c r="H27" i="15"/>
  <c r="I27" i="15" s="1"/>
  <c r="H26" i="15"/>
  <c r="I26" i="15" s="1"/>
  <c r="J26" i="15" s="1"/>
  <c r="H25" i="15"/>
  <c r="I25" i="15" s="1"/>
  <c r="H24" i="15"/>
  <c r="I24" i="15" s="1"/>
  <c r="J24" i="15" s="1"/>
  <c r="H23" i="15"/>
  <c r="H22" i="15"/>
  <c r="I22" i="15" s="1"/>
  <c r="J22" i="15" s="1"/>
  <c r="H21" i="15"/>
  <c r="I21" i="15" s="1"/>
  <c r="H20" i="15"/>
  <c r="I20" i="15" s="1"/>
  <c r="J20" i="15" s="1"/>
  <c r="H19" i="15"/>
  <c r="H18" i="15"/>
  <c r="I18" i="15" s="1"/>
  <c r="J18" i="15" s="1"/>
  <c r="H17" i="15"/>
  <c r="H16" i="15"/>
  <c r="I16" i="15" s="1"/>
  <c r="J16" i="15" s="1"/>
  <c r="H15" i="15"/>
  <c r="H14" i="15"/>
  <c r="I14" i="15" s="1"/>
  <c r="J14" i="15" s="1"/>
  <c r="H13" i="15"/>
  <c r="I13" i="15" s="1"/>
  <c r="H12" i="15"/>
  <c r="I12" i="15" s="1"/>
  <c r="J12" i="15" s="1"/>
  <c r="H11" i="15"/>
  <c r="H10" i="15"/>
  <c r="I10" i="15" s="1"/>
  <c r="J10" i="15" s="1"/>
  <c r="H9" i="15"/>
  <c r="H8" i="15"/>
  <c r="I8" i="15" s="1"/>
  <c r="J8" i="15" s="1"/>
  <c r="H7" i="15"/>
  <c r="E57" i="15" l="1"/>
  <c r="I45" i="15"/>
  <c r="J45" i="15" s="1"/>
  <c r="J31" i="15"/>
  <c r="J47" i="15"/>
  <c r="I49" i="15"/>
  <c r="J49" i="15" s="1"/>
  <c r="J39" i="15"/>
  <c r="J41" i="15"/>
  <c r="I31" i="15"/>
  <c r="J33" i="15"/>
  <c r="J29" i="15"/>
  <c r="H57" i="15"/>
  <c r="J27" i="15"/>
  <c r="J35" i="15"/>
  <c r="J43" i="15"/>
  <c r="J51" i="15"/>
  <c r="J37" i="15"/>
  <c r="C57" i="15"/>
  <c r="F53" i="15"/>
  <c r="G53" i="15" s="1"/>
  <c r="F41" i="15"/>
  <c r="G41" i="15" s="1"/>
  <c r="F33" i="15"/>
  <c r="G33" i="15" s="1"/>
  <c r="F23" i="15"/>
  <c r="G23" i="15" s="1"/>
  <c r="F11" i="15"/>
  <c r="G11" i="15" s="1"/>
  <c r="F28" i="15"/>
  <c r="G28" i="15" s="1"/>
  <c r="F18" i="15"/>
  <c r="G18" i="15" s="1"/>
  <c r="F12" i="15"/>
  <c r="G12" i="15" s="1"/>
  <c r="F8" i="15"/>
  <c r="G8" i="15" s="1"/>
  <c r="F47" i="15"/>
  <c r="G47" i="15" s="1"/>
  <c r="F31" i="15"/>
  <c r="G31" i="15" s="1"/>
  <c r="F19" i="15"/>
  <c r="G19" i="15" s="1"/>
  <c r="F54" i="15"/>
  <c r="G54" i="15" s="1"/>
  <c r="F52" i="15"/>
  <c r="G52" i="15" s="1"/>
  <c r="F50" i="15"/>
  <c r="G50" i="15" s="1"/>
  <c r="F48" i="15"/>
  <c r="G48" i="15" s="1"/>
  <c r="F46" i="15"/>
  <c r="G46" i="15" s="1"/>
  <c r="F44" i="15"/>
  <c r="G44" i="15" s="1"/>
  <c r="F42" i="15"/>
  <c r="G42" i="15" s="1"/>
  <c r="F40" i="15"/>
  <c r="G40" i="15" s="1"/>
  <c r="F38" i="15"/>
  <c r="G38" i="15" s="1"/>
  <c r="F36" i="15"/>
  <c r="G36" i="15" s="1"/>
  <c r="F34" i="15"/>
  <c r="G34" i="15" s="1"/>
  <c r="F32" i="15"/>
  <c r="G32" i="15" s="1"/>
  <c r="F30" i="15"/>
  <c r="G30" i="15" s="1"/>
  <c r="F26" i="15"/>
  <c r="G26" i="15" s="1"/>
  <c r="F24" i="15"/>
  <c r="G24" i="15" s="1"/>
  <c r="F22" i="15"/>
  <c r="G22" i="15" s="1"/>
  <c r="F20" i="15"/>
  <c r="G20" i="15" s="1"/>
  <c r="F16" i="15"/>
  <c r="G16" i="15" s="1"/>
  <c r="F14" i="15"/>
  <c r="G14" i="15" s="1"/>
  <c r="F10" i="15"/>
  <c r="G10" i="15" s="1"/>
  <c r="F55" i="15"/>
  <c r="G55" i="15" s="1"/>
  <c r="F39" i="15"/>
  <c r="G39" i="15" s="1"/>
  <c r="F29" i="15"/>
  <c r="G29" i="15" s="1"/>
  <c r="F21" i="15"/>
  <c r="G21" i="15" s="1"/>
  <c r="F15" i="15"/>
  <c r="G15" i="15" s="1"/>
  <c r="F9" i="15"/>
  <c r="G9" i="15" s="1"/>
  <c r="F51" i="15"/>
  <c r="G51" i="15" s="1"/>
  <c r="F45" i="15"/>
  <c r="G45" i="15" s="1"/>
  <c r="F35" i="15"/>
  <c r="G35" i="15" s="1"/>
  <c r="F27" i="15"/>
  <c r="G27" i="15" s="1"/>
  <c r="F17" i="15"/>
  <c r="G17" i="15" s="1"/>
  <c r="F7" i="15"/>
  <c r="F49" i="15"/>
  <c r="G49" i="15" s="1"/>
  <c r="F43" i="15"/>
  <c r="G43" i="15" s="1"/>
  <c r="F37" i="15"/>
  <c r="G37" i="15" s="1"/>
  <c r="F25" i="15"/>
  <c r="G25" i="15" s="1"/>
  <c r="F13" i="15"/>
  <c r="G13" i="15" s="1"/>
  <c r="I7" i="15"/>
  <c r="I11" i="15"/>
  <c r="J11" i="15" s="1"/>
  <c r="I17" i="15"/>
  <c r="J17" i="15" s="1"/>
  <c r="J7" i="15"/>
  <c r="J13" i="15"/>
  <c r="J21" i="15"/>
  <c r="J25" i="15"/>
  <c r="I23" i="15"/>
  <c r="J23" i="15" s="1"/>
  <c r="I30" i="15"/>
  <c r="J30" i="15" s="1"/>
  <c r="I9" i="15"/>
  <c r="J9" i="15" s="1"/>
  <c r="I15" i="15"/>
  <c r="J15" i="15" s="1"/>
  <c r="I19" i="15"/>
  <c r="J19" i="15" s="1"/>
  <c r="K39" i="15" l="1"/>
  <c r="L39" i="15" s="1"/>
  <c r="K52" i="15"/>
  <c r="L52" i="15" s="1"/>
  <c r="M52" i="15"/>
  <c r="K29" i="15"/>
  <c r="L29" i="15" s="1"/>
  <c r="K10" i="15"/>
  <c r="L10" i="15" s="1"/>
  <c r="M10" i="15"/>
  <c r="K19" i="15"/>
  <c r="L19" i="15" s="1"/>
  <c r="J57" i="15"/>
  <c r="K16" i="15"/>
  <c r="L16" i="15" s="1"/>
  <c r="K47" i="15"/>
  <c r="L47" i="15" s="1"/>
  <c r="K8" i="15"/>
  <c r="L8" i="15" s="1"/>
  <c r="K21" i="15"/>
  <c r="L21" i="15" s="1"/>
  <c r="M21" i="15"/>
  <c r="K31" i="15"/>
  <c r="L31" i="15" s="1"/>
  <c r="K20" i="15"/>
  <c r="L20" i="15" s="1"/>
  <c r="M20" i="15"/>
  <c r="K25" i="15"/>
  <c r="L25" i="15" s="1"/>
  <c r="K22" i="15"/>
  <c r="L22" i="15" s="1"/>
  <c r="K12" i="15"/>
  <c r="L12" i="15" s="1"/>
  <c r="I57" i="15"/>
  <c r="K13" i="15"/>
  <c r="L13" i="15" s="1"/>
  <c r="M13" i="15"/>
  <c r="K37" i="15"/>
  <c r="L37" i="15" s="1"/>
  <c r="M37" i="15"/>
  <c r="K24" i="15"/>
  <c r="L24" i="15" s="1"/>
  <c r="M18" i="15"/>
  <c r="K18" i="15"/>
  <c r="L18" i="15" s="1"/>
  <c r="K48" i="15"/>
  <c r="L48" i="15" s="1"/>
  <c r="K14" i="15"/>
  <c r="L14" i="15" s="1"/>
  <c r="M14" i="15"/>
  <c r="K43" i="15"/>
  <c r="L43" i="15" s="1"/>
  <c r="K26" i="15"/>
  <c r="L26" i="15" s="1"/>
  <c r="K28" i="15"/>
  <c r="L28" i="15" s="1"/>
  <c r="M28" i="15"/>
  <c r="K54" i="15"/>
  <c r="L54" i="15" s="1"/>
  <c r="K49" i="15"/>
  <c r="L49" i="15" s="1"/>
  <c r="G7" i="15"/>
  <c r="F57" i="15"/>
  <c r="M23" i="15"/>
  <c r="K23" i="15"/>
  <c r="L23" i="15" s="1"/>
  <c r="K17" i="15"/>
  <c r="L17" i="15" s="1"/>
  <c r="K34" i="15"/>
  <c r="L34" i="15" s="1"/>
  <c r="M34" i="15"/>
  <c r="K27" i="15"/>
  <c r="L27" i="15" s="1"/>
  <c r="M36" i="15"/>
  <c r="K36" i="15"/>
  <c r="L36" i="15" s="1"/>
  <c r="K35" i="15"/>
  <c r="L35" i="15" s="1"/>
  <c r="K38" i="15"/>
  <c r="L38" i="15" s="1"/>
  <c r="M38" i="15"/>
  <c r="M53" i="15"/>
  <c r="K53" i="15"/>
  <c r="L53" i="15" s="1"/>
  <c r="M50" i="15"/>
  <c r="K50" i="15"/>
  <c r="L50" i="15" s="1"/>
  <c r="K11" i="15"/>
  <c r="L11" i="15" s="1"/>
  <c r="K32" i="15"/>
  <c r="L32" i="15" s="1"/>
  <c r="K33" i="15"/>
  <c r="L33" i="15" s="1"/>
  <c r="M33" i="15"/>
  <c r="K41" i="15"/>
  <c r="L41" i="15" s="1"/>
  <c r="K45" i="15"/>
  <c r="L45" i="15" s="1"/>
  <c r="M45" i="15"/>
  <c r="K40" i="15"/>
  <c r="L40" i="15" s="1"/>
  <c r="K55" i="15"/>
  <c r="L55" i="15" s="1"/>
  <c r="M55" i="15"/>
  <c r="K30" i="15"/>
  <c r="L30" i="15" s="1"/>
  <c r="K51" i="15"/>
  <c r="L51" i="15" s="1"/>
  <c r="M51" i="15"/>
  <c r="K42" i="15"/>
  <c r="L42" i="15" s="1"/>
  <c r="K9" i="15"/>
  <c r="L9" i="15" s="1"/>
  <c r="M9" i="15"/>
  <c r="K44" i="15"/>
  <c r="L44" i="15" s="1"/>
  <c r="M44" i="15"/>
  <c r="K15" i="15"/>
  <c r="L15" i="15" s="1"/>
  <c r="K46" i="15"/>
  <c r="L46" i="15" s="1"/>
  <c r="M12" i="15" l="1"/>
  <c r="M31" i="15"/>
  <c r="M26" i="15"/>
  <c r="M8" i="15"/>
  <c r="M19" i="15"/>
  <c r="M48" i="15"/>
  <c r="M27" i="15"/>
  <c r="M24" i="15"/>
  <c r="M41" i="15"/>
  <c r="M43" i="15"/>
  <c r="M30" i="15"/>
  <c r="M16" i="15"/>
  <c r="M15" i="15"/>
  <c r="M22" i="15"/>
  <c r="M46" i="15"/>
  <c r="M17" i="15"/>
  <c r="M32" i="15"/>
  <c r="G57" i="15"/>
  <c r="K7" i="15"/>
  <c r="M42" i="15"/>
  <c r="M49" i="15"/>
  <c r="M47" i="15"/>
  <c r="M11" i="15"/>
  <c r="M54" i="15"/>
  <c r="M35" i="15"/>
  <c r="M29" i="15"/>
  <c r="M40" i="15"/>
  <c r="M25" i="15"/>
  <c r="M39" i="15"/>
  <c r="E8" i="14"/>
  <c r="E9" i="14"/>
  <c r="E10" i="14"/>
  <c r="E11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34" i="14"/>
  <c r="E35" i="14"/>
  <c r="E36" i="14"/>
  <c r="E37" i="14"/>
  <c r="E38" i="14"/>
  <c r="E39" i="14"/>
  <c r="E40" i="14"/>
  <c r="E41" i="14"/>
  <c r="E42" i="14"/>
  <c r="E43" i="14"/>
  <c r="E44" i="14"/>
  <c r="E45" i="14"/>
  <c r="E46" i="14"/>
  <c r="E47" i="14"/>
  <c r="E48" i="14"/>
  <c r="E49" i="14"/>
  <c r="E50" i="14"/>
  <c r="E51" i="14"/>
  <c r="E52" i="14"/>
  <c r="E53" i="14"/>
  <c r="E54" i="14"/>
  <c r="E55" i="14"/>
  <c r="E7" i="14"/>
  <c r="E57" i="14" s="1"/>
  <c r="C9" i="14"/>
  <c r="C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C46" i="14"/>
  <c r="C47" i="14"/>
  <c r="C48" i="14"/>
  <c r="C49" i="14"/>
  <c r="C50" i="14"/>
  <c r="C51" i="14"/>
  <c r="C52" i="14"/>
  <c r="C53" i="14"/>
  <c r="C54" i="14"/>
  <c r="C55" i="14"/>
  <c r="C8" i="14"/>
  <c r="C7" i="14"/>
  <c r="Y57" i="14"/>
  <c r="W57" i="14"/>
  <c r="U57" i="14"/>
  <c r="T57" i="14"/>
  <c r="S57" i="14"/>
  <c r="Q57" i="14"/>
  <c r="P57" i="14"/>
  <c r="O57" i="14"/>
  <c r="D57" i="14"/>
  <c r="H55" i="14"/>
  <c r="H54" i="14"/>
  <c r="H53" i="14"/>
  <c r="H52" i="14"/>
  <c r="H51" i="14"/>
  <c r="H50" i="14"/>
  <c r="H49" i="14"/>
  <c r="H48" i="14"/>
  <c r="H47" i="14"/>
  <c r="H46" i="14"/>
  <c r="H45" i="14"/>
  <c r="H44" i="14"/>
  <c r="H43" i="14"/>
  <c r="H42" i="14"/>
  <c r="H41" i="14"/>
  <c r="H40" i="14"/>
  <c r="H39" i="14"/>
  <c r="H38" i="14"/>
  <c r="H37" i="14"/>
  <c r="H36" i="14"/>
  <c r="H35" i="14"/>
  <c r="H34" i="14"/>
  <c r="H33" i="14"/>
  <c r="H32" i="14"/>
  <c r="H31" i="14"/>
  <c r="H30" i="14"/>
  <c r="H29" i="14"/>
  <c r="H28" i="14"/>
  <c r="H27" i="14"/>
  <c r="H26" i="14"/>
  <c r="H25" i="14"/>
  <c r="H24" i="14"/>
  <c r="H23" i="14"/>
  <c r="H22" i="14"/>
  <c r="H21" i="14"/>
  <c r="H20" i="14"/>
  <c r="H19" i="14"/>
  <c r="H18" i="14"/>
  <c r="H17" i="14"/>
  <c r="H16" i="14"/>
  <c r="H15" i="14"/>
  <c r="H14" i="14"/>
  <c r="H13" i="14"/>
  <c r="H12" i="14"/>
  <c r="H11" i="14"/>
  <c r="H10" i="14"/>
  <c r="H9" i="14"/>
  <c r="H8" i="14"/>
  <c r="H7" i="14"/>
  <c r="K57" i="12"/>
  <c r="K57" i="13"/>
  <c r="K57" i="15" l="1"/>
  <c r="L7" i="15"/>
  <c r="L57" i="15" s="1"/>
  <c r="M7" i="15"/>
  <c r="M57" i="15" s="1"/>
  <c r="C57" i="14"/>
  <c r="F55" i="14"/>
  <c r="G55" i="14" s="1"/>
  <c r="F53" i="14"/>
  <c r="G53" i="14" s="1"/>
  <c r="F51" i="14"/>
  <c r="G51" i="14" s="1"/>
  <c r="F49" i="14"/>
  <c r="G49" i="14" s="1"/>
  <c r="F47" i="14"/>
  <c r="G47" i="14" s="1"/>
  <c r="F45" i="14"/>
  <c r="G45" i="14" s="1"/>
  <c r="F43" i="14"/>
  <c r="G43" i="14" s="1"/>
  <c r="F41" i="14"/>
  <c r="G41" i="14" s="1"/>
  <c r="F39" i="14"/>
  <c r="G39" i="14" s="1"/>
  <c r="F37" i="14"/>
  <c r="G37" i="14" s="1"/>
  <c r="F35" i="14"/>
  <c r="G35" i="14" s="1"/>
  <c r="F33" i="14"/>
  <c r="G33" i="14" s="1"/>
  <c r="F31" i="14"/>
  <c r="G31" i="14" s="1"/>
  <c r="F29" i="14"/>
  <c r="G29" i="14" s="1"/>
  <c r="F27" i="14"/>
  <c r="G27" i="14" s="1"/>
  <c r="F25" i="14"/>
  <c r="G25" i="14" s="1"/>
  <c r="F23" i="14"/>
  <c r="G23" i="14" s="1"/>
  <c r="F21" i="14"/>
  <c r="G21" i="14" s="1"/>
  <c r="F19" i="14"/>
  <c r="G19" i="14" s="1"/>
  <c r="F17" i="14"/>
  <c r="G17" i="14" s="1"/>
  <c r="F15" i="14"/>
  <c r="G15" i="14" s="1"/>
  <c r="F13" i="14"/>
  <c r="G13" i="14" s="1"/>
  <c r="F11" i="14"/>
  <c r="G11" i="14" s="1"/>
  <c r="F9" i="14"/>
  <c r="G9" i="14" s="1"/>
  <c r="F7" i="14"/>
  <c r="F54" i="14"/>
  <c r="G54" i="14" s="1"/>
  <c r="F52" i="14"/>
  <c r="G52" i="14" s="1"/>
  <c r="F50" i="14"/>
  <c r="G50" i="14" s="1"/>
  <c r="F48" i="14"/>
  <c r="G48" i="14" s="1"/>
  <c r="F46" i="14"/>
  <c r="G46" i="14" s="1"/>
  <c r="F44" i="14"/>
  <c r="G44" i="14" s="1"/>
  <c r="F42" i="14"/>
  <c r="G42" i="14" s="1"/>
  <c r="F40" i="14"/>
  <c r="G40" i="14" s="1"/>
  <c r="F38" i="14"/>
  <c r="G38" i="14" s="1"/>
  <c r="F36" i="14"/>
  <c r="G36" i="14" s="1"/>
  <c r="F34" i="14"/>
  <c r="G34" i="14" s="1"/>
  <c r="F32" i="14"/>
  <c r="G32" i="14" s="1"/>
  <c r="F30" i="14"/>
  <c r="G30" i="14" s="1"/>
  <c r="F28" i="14"/>
  <c r="G28" i="14" s="1"/>
  <c r="F26" i="14"/>
  <c r="G26" i="14" s="1"/>
  <c r="F24" i="14"/>
  <c r="G24" i="14" s="1"/>
  <c r="F22" i="14"/>
  <c r="G22" i="14" s="1"/>
  <c r="F20" i="14"/>
  <c r="G20" i="14" s="1"/>
  <c r="F18" i="14"/>
  <c r="G18" i="14" s="1"/>
  <c r="F16" i="14"/>
  <c r="G16" i="14" s="1"/>
  <c r="F14" i="14"/>
  <c r="G14" i="14" s="1"/>
  <c r="F12" i="14"/>
  <c r="G12" i="14" s="1"/>
  <c r="F10" i="14"/>
  <c r="G10" i="14" s="1"/>
  <c r="F8" i="14"/>
  <c r="G8" i="14" s="1"/>
  <c r="J21" i="14"/>
  <c r="J22" i="14"/>
  <c r="J18" i="14"/>
  <c r="I8" i="14"/>
  <c r="J8" i="14" s="1"/>
  <c r="I10" i="14"/>
  <c r="J10" i="14" s="1"/>
  <c r="I12" i="14"/>
  <c r="J12" i="14" s="1"/>
  <c r="I14" i="14"/>
  <c r="J14" i="14" s="1"/>
  <c r="I16" i="14"/>
  <c r="J16" i="14" s="1"/>
  <c r="I18" i="14"/>
  <c r="I20" i="14"/>
  <c r="J20" i="14" s="1"/>
  <c r="I22" i="14"/>
  <c r="I24" i="14"/>
  <c r="J24" i="14" s="1"/>
  <c r="I26" i="14"/>
  <c r="J26" i="14" s="1"/>
  <c r="I28" i="14"/>
  <c r="J28" i="14" s="1"/>
  <c r="I30" i="14"/>
  <c r="J30" i="14" s="1"/>
  <c r="I32" i="14"/>
  <c r="J32" i="14" s="1"/>
  <c r="I34" i="14"/>
  <c r="J34" i="14" s="1"/>
  <c r="I36" i="14"/>
  <c r="J36" i="14" s="1"/>
  <c r="I38" i="14"/>
  <c r="J38" i="14" s="1"/>
  <c r="I40" i="14"/>
  <c r="J40" i="14" s="1"/>
  <c r="I42" i="14"/>
  <c r="J42" i="14" s="1"/>
  <c r="I44" i="14"/>
  <c r="J44" i="14" s="1"/>
  <c r="I46" i="14"/>
  <c r="J46" i="14" s="1"/>
  <c r="I48" i="14"/>
  <c r="J48" i="14" s="1"/>
  <c r="I50" i="14"/>
  <c r="J50" i="14" s="1"/>
  <c r="I52" i="14"/>
  <c r="J52" i="14" s="1"/>
  <c r="I54" i="14"/>
  <c r="J54" i="14" s="1"/>
  <c r="H57" i="14"/>
  <c r="I7" i="14"/>
  <c r="J7" i="14" s="1"/>
  <c r="I9" i="14"/>
  <c r="J9" i="14" s="1"/>
  <c r="I11" i="14"/>
  <c r="J11" i="14" s="1"/>
  <c r="I13" i="14"/>
  <c r="J13" i="14" s="1"/>
  <c r="I15" i="14"/>
  <c r="J15" i="14" s="1"/>
  <c r="I17" i="14"/>
  <c r="J17" i="14" s="1"/>
  <c r="I19" i="14"/>
  <c r="J19" i="14" s="1"/>
  <c r="I21" i="14"/>
  <c r="I23" i="14"/>
  <c r="J23" i="14" s="1"/>
  <c r="I25" i="14"/>
  <c r="J25" i="14" s="1"/>
  <c r="I27" i="14"/>
  <c r="J27" i="14" s="1"/>
  <c r="I29" i="14"/>
  <c r="J29" i="14" s="1"/>
  <c r="I31" i="14"/>
  <c r="J31" i="14" s="1"/>
  <c r="I33" i="14"/>
  <c r="J33" i="14" s="1"/>
  <c r="I35" i="14"/>
  <c r="J35" i="14" s="1"/>
  <c r="I37" i="14"/>
  <c r="J37" i="14" s="1"/>
  <c r="I39" i="14"/>
  <c r="J39" i="14" s="1"/>
  <c r="I41" i="14"/>
  <c r="J41" i="14" s="1"/>
  <c r="I43" i="14"/>
  <c r="J43" i="14" s="1"/>
  <c r="I45" i="14"/>
  <c r="J45" i="14" s="1"/>
  <c r="I47" i="14"/>
  <c r="J47" i="14" s="1"/>
  <c r="I49" i="14"/>
  <c r="J49" i="14" s="1"/>
  <c r="I51" i="14"/>
  <c r="J51" i="14" s="1"/>
  <c r="I53" i="14"/>
  <c r="J53" i="14" s="1"/>
  <c r="I55" i="14"/>
  <c r="J55" i="14" s="1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7" i="13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C49" i="13"/>
  <c r="C50" i="13"/>
  <c r="C51" i="13"/>
  <c r="C52" i="13"/>
  <c r="C53" i="13"/>
  <c r="C54" i="13"/>
  <c r="C55" i="13"/>
  <c r="C8" i="13"/>
  <c r="C7" i="13"/>
  <c r="Y57" i="13"/>
  <c r="W57" i="13"/>
  <c r="U57" i="13"/>
  <c r="T57" i="13"/>
  <c r="S57" i="13"/>
  <c r="Q57" i="13"/>
  <c r="P57" i="13"/>
  <c r="O57" i="13"/>
  <c r="D57" i="13"/>
  <c r="H55" i="13"/>
  <c r="H54" i="13"/>
  <c r="H53" i="13"/>
  <c r="I53" i="13" s="1"/>
  <c r="J53" i="13" s="1"/>
  <c r="H52" i="13"/>
  <c r="H51" i="13"/>
  <c r="I51" i="13" s="1"/>
  <c r="J51" i="13" s="1"/>
  <c r="H50" i="13"/>
  <c r="H49" i="13"/>
  <c r="I49" i="13" s="1"/>
  <c r="J49" i="13" s="1"/>
  <c r="H48" i="13"/>
  <c r="H47" i="13"/>
  <c r="I47" i="13" s="1"/>
  <c r="J47" i="13" s="1"/>
  <c r="H46" i="13"/>
  <c r="H45" i="13"/>
  <c r="I45" i="13" s="1"/>
  <c r="J45" i="13" s="1"/>
  <c r="H44" i="13"/>
  <c r="H43" i="13"/>
  <c r="I43" i="13" s="1"/>
  <c r="J43" i="13" s="1"/>
  <c r="H42" i="13"/>
  <c r="H41" i="13"/>
  <c r="I41" i="13" s="1"/>
  <c r="J41" i="13" s="1"/>
  <c r="H40" i="13"/>
  <c r="H39" i="13"/>
  <c r="I39" i="13" s="1"/>
  <c r="J39" i="13" s="1"/>
  <c r="H38" i="13"/>
  <c r="H37" i="13"/>
  <c r="I37" i="13" s="1"/>
  <c r="J37" i="13" s="1"/>
  <c r="H36" i="13"/>
  <c r="H35" i="13"/>
  <c r="I35" i="13" s="1"/>
  <c r="J35" i="13" s="1"/>
  <c r="H34" i="13"/>
  <c r="H33" i="13"/>
  <c r="I33" i="13" s="1"/>
  <c r="J33" i="13" s="1"/>
  <c r="H32" i="13"/>
  <c r="H31" i="13"/>
  <c r="I31" i="13" s="1"/>
  <c r="J31" i="13" s="1"/>
  <c r="H30" i="13"/>
  <c r="H29" i="13"/>
  <c r="I29" i="13" s="1"/>
  <c r="J29" i="13" s="1"/>
  <c r="H28" i="13"/>
  <c r="H27" i="13"/>
  <c r="H26" i="13"/>
  <c r="I26" i="13" s="1"/>
  <c r="H25" i="13"/>
  <c r="I25" i="13" s="1"/>
  <c r="J25" i="13" s="1"/>
  <c r="H24" i="13"/>
  <c r="I24" i="13" s="1"/>
  <c r="H23" i="13"/>
  <c r="I23" i="13" s="1"/>
  <c r="J23" i="13" s="1"/>
  <c r="H22" i="13"/>
  <c r="I21" i="13"/>
  <c r="J21" i="13" s="1"/>
  <c r="H21" i="13"/>
  <c r="H20" i="13"/>
  <c r="H19" i="13"/>
  <c r="I19" i="13" s="1"/>
  <c r="J19" i="13" s="1"/>
  <c r="H18" i="13"/>
  <c r="H17" i="13"/>
  <c r="I17" i="13" s="1"/>
  <c r="J17" i="13" s="1"/>
  <c r="H16" i="13"/>
  <c r="H15" i="13"/>
  <c r="I15" i="13" s="1"/>
  <c r="J15" i="13" s="1"/>
  <c r="H14" i="13"/>
  <c r="I14" i="13" s="1"/>
  <c r="J14" i="13" s="1"/>
  <c r="H13" i="13"/>
  <c r="I13" i="13" s="1"/>
  <c r="J13" i="13" s="1"/>
  <c r="H12" i="13"/>
  <c r="H11" i="13"/>
  <c r="I11" i="13" s="1"/>
  <c r="J11" i="13" s="1"/>
  <c r="H10" i="13"/>
  <c r="H9" i="13"/>
  <c r="I9" i="13" s="1"/>
  <c r="J9" i="13" s="1"/>
  <c r="H8" i="13"/>
  <c r="I8" i="13" s="1"/>
  <c r="J8" i="13" s="1"/>
  <c r="H7" i="13"/>
  <c r="I7" i="13" s="1"/>
  <c r="J7" i="13" s="1"/>
  <c r="E57" i="13"/>
  <c r="F55" i="13" s="1"/>
  <c r="G55" i="13" s="1"/>
  <c r="I57" i="12"/>
  <c r="K47" i="14" l="1"/>
  <c r="L47" i="14" s="1"/>
  <c r="K25" i="14"/>
  <c r="L25" i="14" s="1"/>
  <c r="M36" i="14"/>
  <c r="K36" i="14"/>
  <c r="L36" i="14" s="1"/>
  <c r="K27" i="14"/>
  <c r="L27" i="14" s="1"/>
  <c r="K12" i="14"/>
  <c r="L12" i="14" s="1"/>
  <c r="K34" i="14"/>
  <c r="L34" i="14" s="1"/>
  <c r="K38" i="14"/>
  <c r="L38" i="14" s="1"/>
  <c r="K29" i="14"/>
  <c r="L29" i="14" s="1"/>
  <c r="K54" i="14"/>
  <c r="L54" i="14" s="1"/>
  <c r="K23" i="14"/>
  <c r="L23" i="14" s="1"/>
  <c r="M23" i="14"/>
  <c r="K40" i="14"/>
  <c r="L40" i="14" s="1"/>
  <c r="K31" i="14"/>
  <c r="L31" i="14" s="1"/>
  <c r="M31" i="14"/>
  <c r="K32" i="14"/>
  <c r="L32" i="14" s="1"/>
  <c r="K42" i="14"/>
  <c r="L42" i="14" s="1"/>
  <c r="K33" i="14"/>
  <c r="L33" i="14" s="1"/>
  <c r="M33" i="14"/>
  <c r="K44" i="14"/>
  <c r="L44" i="14" s="1"/>
  <c r="K35" i="14"/>
  <c r="L35" i="14" s="1"/>
  <c r="K16" i="14"/>
  <c r="L16" i="14" s="1"/>
  <c r="K46" i="14"/>
  <c r="L46" i="14" s="1"/>
  <c r="M8" i="14"/>
  <c r="K8" i="14"/>
  <c r="L8" i="14" s="1"/>
  <c r="K48" i="14"/>
  <c r="L48" i="14" s="1"/>
  <c r="K39" i="14"/>
  <c r="L39" i="14" s="1"/>
  <c r="K45" i="14"/>
  <c r="L45" i="14" s="1"/>
  <c r="M45" i="14"/>
  <c r="J57" i="14"/>
  <c r="K37" i="14"/>
  <c r="L37" i="14" s="1"/>
  <c r="K10" i="14"/>
  <c r="L10" i="14" s="1"/>
  <c r="K50" i="14"/>
  <c r="L50" i="14" s="1"/>
  <c r="K41" i="14"/>
  <c r="L41" i="14" s="1"/>
  <c r="M41" i="14"/>
  <c r="G7" i="14"/>
  <c r="F57" i="14"/>
  <c r="K18" i="14"/>
  <c r="L18" i="14" s="1"/>
  <c r="K9" i="14"/>
  <c r="L9" i="14" s="1"/>
  <c r="M9" i="14"/>
  <c r="K49" i="14"/>
  <c r="L49" i="14" s="1"/>
  <c r="M20" i="14"/>
  <c r="K20" i="14"/>
  <c r="L20" i="14" s="1"/>
  <c r="K11" i="14"/>
  <c r="L11" i="14" s="1"/>
  <c r="K51" i="14"/>
  <c r="L51" i="14" s="1"/>
  <c r="M51" i="14"/>
  <c r="M14" i="14"/>
  <c r="K14" i="14"/>
  <c r="L14" i="14" s="1"/>
  <c r="K53" i="14"/>
  <c r="L53" i="14" s="1"/>
  <c r="I57" i="14"/>
  <c r="M24" i="14"/>
  <c r="K24" i="14"/>
  <c r="L24" i="14" s="1"/>
  <c r="K15" i="14"/>
  <c r="L15" i="14" s="1"/>
  <c r="K55" i="14"/>
  <c r="L55" i="14" s="1"/>
  <c r="M55" i="14"/>
  <c r="K43" i="14"/>
  <c r="L43" i="14" s="1"/>
  <c r="K13" i="14"/>
  <c r="L13" i="14" s="1"/>
  <c r="M13" i="14"/>
  <c r="M26" i="14"/>
  <c r="K26" i="14"/>
  <c r="L26" i="14" s="1"/>
  <c r="K17" i="14"/>
  <c r="L17" i="14" s="1"/>
  <c r="K52" i="14"/>
  <c r="L52" i="14" s="1"/>
  <c r="K28" i="14"/>
  <c r="L28" i="14" s="1"/>
  <c r="K19" i="14"/>
  <c r="L19" i="14" s="1"/>
  <c r="M19" i="14"/>
  <c r="K22" i="14"/>
  <c r="L22" i="14" s="1"/>
  <c r="K30" i="14"/>
  <c r="L30" i="14" s="1"/>
  <c r="K21" i="14"/>
  <c r="L21" i="14" s="1"/>
  <c r="M21" i="14"/>
  <c r="F11" i="13"/>
  <c r="G11" i="13" s="1"/>
  <c r="K11" i="13" s="1"/>
  <c r="L11" i="13" s="1"/>
  <c r="F19" i="13"/>
  <c r="G19" i="13" s="1"/>
  <c r="K19" i="13" s="1"/>
  <c r="L19" i="13" s="1"/>
  <c r="F22" i="13"/>
  <c r="G22" i="13" s="1"/>
  <c r="F31" i="13"/>
  <c r="G31" i="13" s="1"/>
  <c r="F41" i="13"/>
  <c r="G41" i="13" s="1"/>
  <c r="K41" i="13" s="1"/>
  <c r="L41" i="13" s="1"/>
  <c r="F17" i="13"/>
  <c r="G17" i="13" s="1"/>
  <c r="F24" i="13"/>
  <c r="G24" i="13" s="1"/>
  <c r="K24" i="13" s="1"/>
  <c r="L24" i="13" s="1"/>
  <c r="I27" i="13"/>
  <c r="J27" i="13" s="1"/>
  <c r="C57" i="13"/>
  <c r="K31" i="13"/>
  <c r="L31" i="13" s="1"/>
  <c r="H57" i="13"/>
  <c r="F51" i="13"/>
  <c r="G51" i="13" s="1"/>
  <c r="F54" i="13"/>
  <c r="G54" i="13" s="1"/>
  <c r="F10" i="13"/>
  <c r="G10" i="13" s="1"/>
  <c r="I12" i="13"/>
  <c r="J12" i="13" s="1"/>
  <c r="J26" i="13"/>
  <c r="I36" i="13"/>
  <c r="J36" i="13" s="1"/>
  <c r="I46" i="13"/>
  <c r="J46" i="13" s="1"/>
  <c r="F34" i="13"/>
  <c r="G34" i="13" s="1"/>
  <c r="F44" i="13"/>
  <c r="G44" i="13" s="1"/>
  <c r="I54" i="13"/>
  <c r="J54" i="13" s="1"/>
  <c r="J24" i="13"/>
  <c r="F39" i="13"/>
  <c r="G39" i="13" s="1"/>
  <c r="F49" i="13"/>
  <c r="G49" i="13" s="1"/>
  <c r="F8" i="13"/>
  <c r="G8" i="13" s="1"/>
  <c r="I34" i="13"/>
  <c r="J34" i="13" s="1"/>
  <c r="I44" i="13"/>
  <c r="J44" i="13" s="1"/>
  <c r="I10" i="13"/>
  <c r="J10" i="13" s="1"/>
  <c r="F29" i="13"/>
  <c r="G29" i="13" s="1"/>
  <c r="F15" i="13"/>
  <c r="G15" i="13" s="1"/>
  <c r="F20" i="13"/>
  <c r="G20" i="13" s="1"/>
  <c r="F32" i="13"/>
  <c r="G32" i="13" s="1"/>
  <c r="F42" i="13"/>
  <c r="G42" i="13" s="1"/>
  <c r="F52" i="13"/>
  <c r="G52" i="13" s="1"/>
  <c r="I22" i="13"/>
  <c r="J22" i="13" s="1"/>
  <c r="F27" i="13"/>
  <c r="G27" i="13" s="1"/>
  <c r="F37" i="13"/>
  <c r="G37" i="13" s="1"/>
  <c r="F18" i="13"/>
  <c r="G18" i="13" s="1"/>
  <c r="I20" i="13"/>
  <c r="J20" i="13" s="1"/>
  <c r="I32" i="13"/>
  <c r="J32" i="13" s="1"/>
  <c r="I42" i="13"/>
  <c r="J42" i="13" s="1"/>
  <c r="I52" i="13"/>
  <c r="J52" i="13" s="1"/>
  <c r="F13" i="13"/>
  <c r="G13" i="13" s="1"/>
  <c r="F47" i="13"/>
  <c r="G47" i="13" s="1"/>
  <c r="F25" i="13"/>
  <c r="G25" i="13" s="1"/>
  <c r="F30" i="13"/>
  <c r="G30" i="13" s="1"/>
  <c r="F40" i="13"/>
  <c r="G40" i="13" s="1"/>
  <c r="F50" i="13"/>
  <c r="G50" i="13" s="1"/>
  <c r="I18" i="13"/>
  <c r="J18" i="13" s="1"/>
  <c r="F35" i="13"/>
  <c r="G35" i="13" s="1"/>
  <c r="F45" i="13"/>
  <c r="G45" i="13" s="1"/>
  <c r="F23" i="13"/>
  <c r="G23" i="13" s="1"/>
  <c r="I30" i="13"/>
  <c r="J30" i="13" s="1"/>
  <c r="I40" i="13"/>
  <c r="J40" i="13" s="1"/>
  <c r="I50" i="13"/>
  <c r="J50" i="13" s="1"/>
  <c r="F28" i="13"/>
  <c r="G28" i="13" s="1"/>
  <c r="F38" i="13"/>
  <c r="G38" i="13" s="1"/>
  <c r="F48" i="13"/>
  <c r="G48" i="13" s="1"/>
  <c r="F14" i="13"/>
  <c r="G14" i="13" s="1"/>
  <c r="I16" i="13"/>
  <c r="J16" i="13" s="1"/>
  <c r="F53" i="13"/>
  <c r="G53" i="13" s="1"/>
  <c r="F16" i="13"/>
  <c r="G16" i="13" s="1"/>
  <c r="F9" i="13"/>
  <c r="G9" i="13" s="1"/>
  <c r="F33" i="13"/>
  <c r="G33" i="13" s="1"/>
  <c r="F43" i="13"/>
  <c r="G43" i="13" s="1"/>
  <c r="M55" i="13"/>
  <c r="F21" i="13"/>
  <c r="G21" i="13" s="1"/>
  <c r="F7" i="13"/>
  <c r="F26" i="13"/>
  <c r="G26" i="13" s="1"/>
  <c r="I28" i="13"/>
  <c r="J28" i="13" s="1"/>
  <c r="I38" i="13"/>
  <c r="J38" i="13" s="1"/>
  <c r="I48" i="13"/>
  <c r="J48" i="13" s="1"/>
  <c r="F12" i="13"/>
  <c r="G12" i="13" s="1"/>
  <c r="F36" i="13"/>
  <c r="G36" i="13" s="1"/>
  <c r="F46" i="13"/>
  <c r="G46" i="13" s="1"/>
  <c r="I55" i="13"/>
  <c r="J55" i="13" s="1"/>
  <c r="K55" i="13" s="1"/>
  <c r="L55" i="13" s="1"/>
  <c r="M37" i="14" l="1"/>
  <c r="M53" i="14"/>
  <c r="M50" i="14"/>
  <c r="M32" i="14"/>
  <c r="M39" i="14"/>
  <c r="M43" i="14"/>
  <c r="M49" i="14"/>
  <c r="M11" i="14"/>
  <c r="M25" i="14"/>
  <c r="M48" i="14"/>
  <c r="M54" i="14"/>
  <c r="M29" i="14"/>
  <c r="M15" i="14"/>
  <c r="M46" i="14"/>
  <c r="M38" i="14"/>
  <c r="M10" i="14"/>
  <c r="M42" i="14"/>
  <c r="M28" i="14"/>
  <c r="M27" i="14"/>
  <c r="M47" i="14"/>
  <c r="M17" i="14"/>
  <c r="M18" i="14"/>
  <c r="M30" i="14"/>
  <c r="K7" i="14"/>
  <c r="M7" i="14" s="1"/>
  <c r="G57" i="14"/>
  <c r="M22" i="14"/>
  <c r="M16" i="14"/>
  <c r="M35" i="14"/>
  <c r="M44" i="14"/>
  <c r="M34" i="14"/>
  <c r="M12" i="14"/>
  <c r="M52" i="14"/>
  <c r="M40" i="14"/>
  <c r="K17" i="13"/>
  <c r="L17" i="13" s="1"/>
  <c r="M11" i="13"/>
  <c r="M24" i="13"/>
  <c r="J57" i="13"/>
  <c r="K32" i="13"/>
  <c r="L32" i="13" s="1"/>
  <c r="M54" i="13"/>
  <c r="K54" i="13"/>
  <c r="L54" i="13" s="1"/>
  <c r="K20" i="13"/>
  <c r="L20" i="13" s="1"/>
  <c r="M51" i="13"/>
  <c r="K51" i="13"/>
  <c r="L51" i="13" s="1"/>
  <c r="K15" i="13"/>
  <c r="L15" i="13" s="1"/>
  <c r="M42" i="13"/>
  <c r="K42" i="13"/>
  <c r="L42" i="13" s="1"/>
  <c r="F57" i="13"/>
  <c r="G7" i="13"/>
  <c r="M50" i="13"/>
  <c r="K50" i="13"/>
  <c r="L50" i="13" s="1"/>
  <c r="K29" i="13"/>
  <c r="L29" i="13" s="1"/>
  <c r="K45" i="13"/>
  <c r="L45" i="13" s="1"/>
  <c r="K21" i="13"/>
  <c r="L21" i="13" s="1"/>
  <c r="K40" i="13"/>
  <c r="L40" i="13" s="1"/>
  <c r="K30" i="13"/>
  <c r="L30" i="13" s="1"/>
  <c r="K43" i="13"/>
  <c r="L43" i="13" s="1"/>
  <c r="M35" i="13"/>
  <c r="K35" i="13"/>
  <c r="L35" i="13" s="1"/>
  <c r="I57" i="13"/>
  <c r="M19" i="13"/>
  <c r="K26" i="13"/>
  <c r="L26" i="13" s="1"/>
  <c r="K13" i="13"/>
  <c r="L13" i="13" s="1"/>
  <c r="K16" i="13"/>
  <c r="L16" i="13" s="1"/>
  <c r="M49" i="13"/>
  <c r="K49" i="13"/>
  <c r="L49" i="13" s="1"/>
  <c r="K25" i="13"/>
  <c r="L25" i="13" s="1"/>
  <c r="K53" i="13"/>
  <c r="L53" i="13" s="1"/>
  <c r="M39" i="13"/>
  <c r="K39" i="13"/>
  <c r="L39" i="13" s="1"/>
  <c r="K22" i="13"/>
  <c r="L22" i="13" s="1"/>
  <c r="K52" i="13"/>
  <c r="L52" i="13" s="1"/>
  <c r="M9" i="13"/>
  <c r="K9" i="13"/>
  <c r="L9" i="13" s="1"/>
  <c r="M31" i="13"/>
  <c r="M33" i="13"/>
  <c r="K33" i="13"/>
  <c r="L33" i="13" s="1"/>
  <c r="K14" i="13"/>
  <c r="L14" i="13" s="1"/>
  <c r="K48" i="13"/>
  <c r="L48" i="13" s="1"/>
  <c r="M48" i="13"/>
  <c r="K44" i="13"/>
  <c r="L44" i="13" s="1"/>
  <c r="K38" i="13"/>
  <c r="L38" i="13" s="1"/>
  <c r="K18" i="13"/>
  <c r="L18" i="13" s="1"/>
  <c r="K34" i="13"/>
  <c r="L34" i="13" s="1"/>
  <c r="M10" i="13"/>
  <c r="K10" i="13"/>
  <c r="L10" i="13" s="1"/>
  <c r="M8" i="13"/>
  <c r="K8" i="13"/>
  <c r="L8" i="13" s="1"/>
  <c r="K46" i="13"/>
  <c r="L46" i="13" s="1"/>
  <c r="K28" i="13"/>
  <c r="L28" i="13" s="1"/>
  <c r="K37" i="13"/>
  <c r="L37" i="13" s="1"/>
  <c r="K23" i="13"/>
  <c r="L23" i="13" s="1"/>
  <c r="K36" i="13"/>
  <c r="L36" i="13" s="1"/>
  <c r="K27" i="13"/>
  <c r="L27" i="13" s="1"/>
  <c r="M47" i="13"/>
  <c r="K47" i="13"/>
  <c r="L47" i="13" s="1"/>
  <c r="K12" i="13"/>
  <c r="L12" i="13" s="1"/>
  <c r="M12" i="13"/>
  <c r="M41" i="13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38" i="12"/>
  <c r="E39" i="12"/>
  <c r="E40" i="12"/>
  <c r="E41" i="12"/>
  <c r="E42" i="12"/>
  <c r="E43" i="12"/>
  <c r="E44" i="12"/>
  <c r="E45" i="12"/>
  <c r="E46" i="12"/>
  <c r="E47" i="12"/>
  <c r="E48" i="12"/>
  <c r="E49" i="12"/>
  <c r="E50" i="12"/>
  <c r="E51" i="12"/>
  <c r="E52" i="12"/>
  <c r="E53" i="12"/>
  <c r="E54" i="12"/>
  <c r="E55" i="12"/>
  <c r="E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C51" i="12"/>
  <c r="C52" i="12"/>
  <c r="C53" i="12"/>
  <c r="C54" i="12"/>
  <c r="C55" i="12"/>
  <c r="C7" i="12"/>
  <c r="Y57" i="12"/>
  <c r="W57" i="12"/>
  <c r="U57" i="12"/>
  <c r="T57" i="12"/>
  <c r="S57" i="12"/>
  <c r="Q57" i="12"/>
  <c r="P57" i="12"/>
  <c r="O57" i="12"/>
  <c r="D57" i="12"/>
  <c r="H55" i="12"/>
  <c r="H54" i="12"/>
  <c r="I54" i="12" s="1"/>
  <c r="J54" i="12" s="1"/>
  <c r="H53" i="12"/>
  <c r="H52" i="12"/>
  <c r="I52" i="12" s="1"/>
  <c r="J52" i="12" s="1"/>
  <c r="H51" i="12"/>
  <c r="H50" i="12"/>
  <c r="I50" i="12" s="1"/>
  <c r="J50" i="12" s="1"/>
  <c r="H49" i="12"/>
  <c r="H48" i="12"/>
  <c r="I48" i="12" s="1"/>
  <c r="J48" i="12" s="1"/>
  <c r="H47" i="12"/>
  <c r="H46" i="12"/>
  <c r="I46" i="12" s="1"/>
  <c r="J46" i="12" s="1"/>
  <c r="H45" i="12"/>
  <c r="H44" i="12"/>
  <c r="I44" i="12" s="1"/>
  <c r="J44" i="12" s="1"/>
  <c r="H43" i="12"/>
  <c r="H42" i="12"/>
  <c r="I42" i="12" s="1"/>
  <c r="J42" i="12" s="1"/>
  <c r="H41" i="12"/>
  <c r="H40" i="12"/>
  <c r="I40" i="12" s="1"/>
  <c r="J40" i="12" s="1"/>
  <c r="H39" i="12"/>
  <c r="H38" i="12"/>
  <c r="I38" i="12" s="1"/>
  <c r="J38" i="12" s="1"/>
  <c r="H37" i="12"/>
  <c r="I37" i="12" s="1"/>
  <c r="H36" i="12"/>
  <c r="I36" i="12" s="1"/>
  <c r="J36" i="12" s="1"/>
  <c r="H35" i="12"/>
  <c r="I35" i="12" s="1"/>
  <c r="H34" i="12"/>
  <c r="I34" i="12" s="1"/>
  <c r="J34" i="12" s="1"/>
  <c r="H33" i="12"/>
  <c r="I33" i="12" s="1"/>
  <c r="H32" i="12"/>
  <c r="I32" i="12" s="1"/>
  <c r="J32" i="12" s="1"/>
  <c r="H31" i="12"/>
  <c r="I31" i="12" s="1"/>
  <c r="H30" i="12"/>
  <c r="I30" i="12" s="1"/>
  <c r="J30" i="12" s="1"/>
  <c r="H29" i="12"/>
  <c r="I29" i="12" s="1"/>
  <c r="H28" i="12"/>
  <c r="I28" i="12" s="1"/>
  <c r="J28" i="12" s="1"/>
  <c r="H27" i="12"/>
  <c r="I27" i="12" s="1"/>
  <c r="H26" i="12"/>
  <c r="I26" i="12" s="1"/>
  <c r="J26" i="12" s="1"/>
  <c r="H25" i="12"/>
  <c r="I25" i="12" s="1"/>
  <c r="I24" i="12"/>
  <c r="J24" i="12" s="1"/>
  <c r="H24" i="12"/>
  <c r="H23" i="12"/>
  <c r="I23" i="12" s="1"/>
  <c r="H22" i="12"/>
  <c r="I22" i="12" s="1"/>
  <c r="J22" i="12" s="1"/>
  <c r="H21" i="12"/>
  <c r="I21" i="12" s="1"/>
  <c r="H20" i="12"/>
  <c r="I20" i="12" s="1"/>
  <c r="J20" i="12" s="1"/>
  <c r="H19" i="12"/>
  <c r="I19" i="12" s="1"/>
  <c r="H18" i="12"/>
  <c r="I18" i="12" s="1"/>
  <c r="J18" i="12" s="1"/>
  <c r="H17" i="12"/>
  <c r="I17" i="12" s="1"/>
  <c r="H16" i="12"/>
  <c r="I16" i="12" s="1"/>
  <c r="J16" i="12" s="1"/>
  <c r="H15" i="12"/>
  <c r="I15" i="12" s="1"/>
  <c r="H14" i="12"/>
  <c r="I14" i="12" s="1"/>
  <c r="J14" i="12" s="1"/>
  <c r="H13" i="12"/>
  <c r="H12" i="12"/>
  <c r="I12" i="12" s="1"/>
  <c r="J12" i="12" s="1"/>
  <c r="H11" i="12"/>
  <c r="H10" i="12"/>
  <c r="I10" i="12" s="1"/>
  <c r="J10" i="12" s="1"/>
  <c r="H9" i="12"/>
  <c r="H8" i="12"/>
  <c r="I8" i="12" s="1"/>
  <c r="J8" i="12" s="1"/>
  <c r="H7" i="12"/>
  <c r="M57" i="14" l="1"/>
  <c r="L7" i="14"/>
  <c r="L57" i="14" s="1"/>
  <c r="K57" i="14"/>
  <c r="M43" i="13"/>
  <c r="M52" i="13"/>
  <c r="M21" i="13"/>
  <c r="M38" i="13"/>
  <c r="M16" i="13"/>
  <c r="M15" i="13"/>
  <c r="M23" i="13"/>
  <c r="M28" i="13"/>
  <c r="M17" i="13"/>
  <c r="M29" i="13"/>
  <c r="M45" i="13"/>
  <c r="M18" i="13"/>
  <c r="M14" i="13"/>
  <c r="M40" i="13"/>
  <c r="M37" i="13"/>
  <c r="M13" i="13"/>
  <c r="G57" i="13"/>
  <c r="K7" i="13"/>
  <c r="L7" i="13" s="1"/>
  <c r="L57" i="13" s="1"/>
  <c r="M26" i="13"/>
  <c r="M46" i="13"/>
  <c r="M20" i="13"/>
  <c r="M34" i="13"/>
  <c r="M30" i="13"/>
  <c r="M53" i="13"/>
  <c r="M27" i="13"/>
  <c r="M25" i="13"/>
  <c r="M32" i="13"/>
  <c r="M22" i="13"/>
  <c r="M36" i="13"/>
  <c r="M44" i="13"/>
  <c r="H57" i="12"/>
  <c r="C57" i="12"/>
  <c r="J15" i="12"/>
  <c r="J17" i="12"/>
  <c r="J19" i="12"/>
  <c r="J21" i="12"/>
  <c r="J23" i="12"/>
  <c r="J25" i="12"/>
  <c r="J27" i="12"/>
  <c r="E57" i="12"/>
  <c r="I7" i="12"/>
  <c r="I9" i="12"/>
  <c r="J9" i="12" s="1"/>
  <c r="I11" i="12"/>
  <c r="J11" i="12" s="1"/>
  <c r="I13" i="12"/>
  <c r="J13" i="12" s="1"/>
  <c r="I39" i="12"/>
  <c r="J39" i="12" s="1"/>
  <c r="J55" i="12"/>
  <c r="J29" i="12"/>
  <c r="J31" i="12"/>
  <c r="J33" i="12"/>
  <c r="J35" i="12"/>
  <c r="J37" i="12"/>
  <c r="I41" i="12"/>
  <c r="J41" i="12" s="1"/>
  <c r="I43" i="12"/>
  <c r="J43" i="12" s="1"/>
  <c r="I45" i="12"/>
  <c r="J45" i="12" s="1"/>
  <c r="I47" i="12"/>
  <c r="J47" i="12" s="1"/>
  <c r="I49" i="12"/>
  <c r="J49" i="12" s="1"/>
  <c r="I51" i="12"/>
  <c r="J51" i="12" s="1"/>
  <c r="I53" i="12"/>
  <c r="J53" i="12" s="1"/>
  <c r="I55" i="12"/>
  <c r="G57" i="11"/>
  <c r="M7" i="13" l="1"/>
  <c r="M57" i="13" s="1"/>
  <c r="F55" i="12"/>
  <c r="G55" i="12" s="1"/>
  <c r="F53" i="12"/>
  <c r="G53" i="12" s="1"/>
  <c r="F51" i="12"/>
  <c r="G51" i="12" s="1"/>
  <c r="F49" i="12"/>
  <c r="G49" i="12" s="1"/>
  <c r="F47" i="12"/>
  <c r="G47" i="12" s="1"/>
  <c r="F45" i="12"/>
  <c r="G45" i="12" s="1"/>
  <c r="F43" i="12"/>
  <c r="G43" i="12" s="1"/>
  <c r="F41" i="12"/>
  <c r="G41" i="12" s="1"/>
  <c r="F39" i="12"/>
  <c r="G39" i="12" s="1"/>
  <c r="F54" i="12"/>
  <c r="G54" i="12" s="1"/>
  <c r="F52" i="12"/>
  <c r="G52" i="12" s="1"/>
  <c r="F50" i="12"/>
  <c r="G50" i="12" s="1"/>
  <c r="F48" i="12"/>
  <c r="G48" i="12" s="1"/>
  <c r="F46" i="12"/>
  <c r="G46" i="12" s="1"/>
  <c r="F44" i="12"/>
  <c r="G44" i="12" s="1"/>
  <c r="F42" i="12"/>
  <c r="G42" i="12" s="1"/>
  <c r="F40" i="12"/>
  <c r="G40" i="12" s="1"/>
  <c r="F13" i="12"/>
  <c r="G13" i="12" s="1"/>
  <c r="F11" i="12"/>
  <c r="G11" i="12" s="1"/>
  <c r="F9" i="12"/>
  <c r="G9" i="12" s="1"/>
  <c r="F7" i="12"/>
  <c r="F38" i="12"/>
  <c r="G38" i="12" s="1"/>
  <c r="F37" i="12"/>
  <c r="G37" i="12" s="1"/>
  <c r="F36" i="12"/>
  <c r="G36" i="12" s="1"/>
  <c r="F35" i="12"/>
  <c r="G35" i="12" s="1"/>
  <c r="F34" i="12"/>
  <c r="G34" i="12" s="1"/>
  <c r="F33" i="12"/>
  <c r="G33" i="12" s="1"/>
  <c r="F32" i="12"/>
  <c r="G32" i="12" s="1"/>
  <c r="F31" i="12"/>
  <c r="G31" i="12" s="1"/>
  <c r="F30" i="12"/>
  <c r="G30" i="12" s="1"/>
  <c r="F29" i="12"/>
  <c r="G29" i="12" s="1"/>
  <c r="F28" i="12"/>
  <c r="G28" i="12" s="1"/>
  <c r="F27" i="12"/>
  <c r="G27" i="12" s="1"/>
  <c r="F26" i="12"/>
  <c r="G26" i="12" s="1"/>
  <c r="F25" i="12"/>
  <c r="G25" i="12" s="1"/>
  <c r="F24" i="12"/>
  <c r="G24" i="12" s="1"/>
  <c r="F23" i="12"/>
  <c r="G23" i="12" s="1"/>
  <c r="F22" i="12"/>
  <c r="G22" i="12" s="1"/>
  <c r="F21" i="12"/>
  <c r="G21" i="12" s="1"/>
  <c r="F20" i="12"/>
  <c r="G20" i="12" s="1"/>
  <c r="F19" i="12"/>
  <c r="G19" i="12" s="1"/>
  <c r="F18" i="12"/>
  <c r="G18" i="12" s="1"/>
  <c r="F17" i="12"/>
  <c r="G17" i="12" s="1"/>
  <c r="F16" i="12"/>
  <c r="G16" i="12" s="1"/>
  <c r="F15" i="12"/>
  <c r="G15" i="12" s="1"/>
  <c r="F14" i="12"/>
  <c r="G14" i="12" s="1"/>
  <c r="F12" i="12"/>
  <c r="G12" i="12" s="1"/>
  <c r="F10" i="12"/>
  <c r="G10" i="12" s="1"/>
  <c r="F8" i="12"/>
  <c r="G8" i="12" s="1"/>
  <c r="J7" i="12"/>
  <c r="J57" i="12" s="1"/>
  <c r="K19" i="12" l="1"/>
  <c r="L19" i="12" s="1"/>
  <c r="K27" i="12"/>
  <c r="L27" i="12" s="1"/>
  <c r="K35" i="12"/>
  <c r="L35" i="12" s="1"/>
  <c r="K40" i="12"/>
  <c r="L40" i="12" s="1"/>
  <c r="M40" i="12"/>
  <c r="K39" i="12"/>
  <c r="L39" i="12" s="1"/>
  <c r="M47" i="12"/>
  <c r="K47" i="12"/>
  <c r="L47" i="12" s="1"/>
  <c r="K10" i="12"/>
  <c r="L10" i="12" s="1"/>
  <c r="K20" i="12"/>
  <c r="L20" i="12" s="1"/>
  <c r="K24" i="12"/>
  <c r="L24" i="12" s="1"/>
  <c r="M24" i="12"/>
  <c r="K32" i="12"/>
  <c r="L32" i="12" s="1"/>
  <c r="K36" i="12"/>
  <c r="L36" i="12" s="1"/>
  <c r="K9" i="12"/>
  <c r="L9" i="12" s="1"/>
  <c r="M9" i="12"/>
  <c r="K42" i="12"/>
  <c r="L42" i="12" s="1"/>
  <c r="M42" i="12"/>
  <c r="K50" i="12"/>
  <c r="L50" i="12" s="1"/>
  <c r="M50" i="12"/>
  <c r="K41" i="12"/>
  <c r="L41" i="12" s="1"/>
  <c r="K12" i="12"/>
  <c r="L12" i="12" s="1"/>
  <c r="M12" i="12"/>
  <c r="K17" i="12"/>
  <c r="L17" i="12" s="1"/>
  <c r="M21" i="12"/>
  <c r="K21" i="12"/>
  <c r="L21" i="12" s="1"/>
  <c r="K25" i="12"/>
  <c r="L25" i="12" s="1"/>
  <c r="K29" i="12"/>
  <c r="L29" i="12" s="1"/>
  <c r="M33" i="12"/>
  <c r="K33" i="12"/>
  <c r="L33" i="12" s="1"/>
  <c r="K37" i="12"/>
  <c r="L37" i="12" s="1"/>
  <c r="K11" i="12"/>
  <c r="L11" i="12" s="1"/>
  <c r="M11" i="12"/>
  <c r="K44" i="12"/>
  <c r="L44" i="12" s="1"/>
  <c r="K52" i="12"/>
  <c r="L52" i="12" s="1"/>
  <c r="M52" i="12"/>
  <c r="M43" i="12"/>
  <c r="K43" i="12"/>
  <c r="L43" i="12" s="1"/>
  <c r="M51" i="12"/>
  <c r="K51" i="12"/>
  <c r="L51" i="12" s="1"/>
  <c r="K14" i="12"/>
  <c r="L14" i="12" s="1"/>
  <c r="K18" i="12"/>
  <c r="L18" i="12" s="1"/>
  <c r="M18" i="12"/>
  <c r="K22" i="12"/>
  <c r="L22" i="12" s="1"/>
  <c r="K26" i="12"/>
  <c r="L26" i="12" s="1"/>
  <c r="K30" i="12"/>
  <c r="L30" i="12" s="1"/>
  <c r="K34" i="12"/>
  <c r="L34" i="12" s="1"/>
  <c r="K38" i="12"/>
  <c r="L38" i="12" s="1"/>
  <c r="M38" i="12"/>
  <c r="K13" i="12"/>
  <c r="L13" i="12" s="1"/>
  <c r="K46" i="12"/>
  <c r="L46" i="12" s="1"/>
  <c r="K54" i="12"/>
  <c r="L54" i="12" s="1"/>
  <c r="M54" i="12"/>
  <c r="K45" i="12"/>
  <c r="L45" i="12" s="1"/>
  <c r="K53" i="12"/>
  <c r="L53" i="12" s="1"/>
  <c r="K15" i="12"/>
  <c r="L15" i="12" s="1"/>
  <c r="M55" i="12"/>
  <c r="K55" i="12"/>
  <c r="L55" i="12" s="1"/>
  <c r="K8" i="12"/>
  <c r="L8" i="12" s="1"/>
  <c r="M8" i="12"/>
  <c r="K23" i="12"/>
  <c r="L23" i="12" s="1"/>
  <c r="K31" i="12"/>
  <c r="L31" i="12" s="1"/>
  <c r="F57" i="12"/>
  <c r="G7" i="12"/>
  <c r="K48" i="12"/>
  <c r="L48" i="12" s="1"/>
  <c r="M48" i="12"/>
  <c r="K16" i="12"/>
  <c r="L16" i="12" s="1"/>
  <c r="K28" i="12"/>
  <c r="L28" i="12" s="1"/>
  <c r="K49" i="12"/>
  <c r="L49" i="12" s="1"/>
  <c r="K61" i="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7" i="11"/>
  <c r="E57" i="11"/>
  <c r="F55" i="11" s="1"/>
  <c r="G55" i="11" s="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8" i="11"/>
  <c r="C9" i="11"/>
  <c r="C10" i="11"/>
  <c r="C11" i="11"/>
  <c r="C12" i="11"/>
  <c r="C13" i="11"/>
  <c r="C7" i="11"/>
  <c r="Y57" i="11"/>
  <c r="W57" i="11"/>
  <c r="U57" i="11"/>
  <c r="T57" i="11"/>
  <c r="S57" i="11"/>
  <c r="Q57" i="11"/>
  <c r="P57" i="11"/>
  <c r="O57" i="11"/>
  <c r="D57" i="11"/>
  <c r="H55" i="11"/>
  <c r="H54" i="11"/>
  <c r="I54" i="11" s="1"/>
  <c r="J54" i="11" s="1"/>
  <c r="H53" i="11"/>
  <c r="I53" i="11" s="1"/>
  <c r="H52" i="11"/>
  <c r="I52" i="11" s="1"/>
  <c r="H51" i="11"/>
  <c r="I51" i="11" s="1"/>
  <c r="H50" i="11"/>
  <c r="I50" i="11" s="1"/>
  <c r="H49" i="11"/>
  <c r="I49" i="11" s="1"/>
  <c r="H48" i="11"/>
  <c r="I48" i="11" s="1"/>
  <c r="H47" i="11"/>
  <c r="I47" i="11" s="1"/>
  <c r="H46" i="11"/>
  <c r="I46" i="11" s="1"/>
  <c r="H45" i="11"/>
  <c r="I45" i="11" s="1"/>
  <c r="H44" i="11"/>
  <c r="I44" i="11" s="1"/>
  <c r="H43" i="11"/>
  <c r="I43" i="11" s="1"/>
  <c r="H42" i="11"/>
  <c r="I42" i="11" s="1"/>
  <c r="H41" i="11"/>
  <c r="I41" i="11" s="1"/>
  <c r="H40" i="11"/>
  <c r="I40" i="11" s="1"/>
  <c r="H39" i="11"/>
  <c r="I39" i="11" s="1"/>
  <c r="H38" i="11"/>
  <c r="I38" i="11" s="1"/>
  <c r="H37" i="11"/>
  <c r="H36" i="11"/>
  <c r="I36" i="11" s="1"/>
  <c r="H35" i="11"/>
  <c r="H34" i="11"/>
  <c r="I34" i="11" s="1"/>
  <c r="H33" i="11"/>
  <c r="H32" i="11"/>
  <c r="I32" i="11" s="1"/>
  <c r="H31" i="11"/>
  <c r="H30" i="11"/>
  <c r="I30" i="11" s="1"/>
  <c r="H29" i="11"/>
  <c r="H28" i="11"/>
  <c r="I28" i="11" s="1"/>
  <c r="H27" i="11"/>
  <c r="H26" i="11"/>
  <c r="I26" i="11" s="1"/>
  <c r="H25" i="11"/>
  <c r="H24" i="11"/>
  <c r="I24" i="11" s="1"/>
  <c r="H23" i="11"/>
  <c r="H22" i="11"/>
  <c r="I22" i="11" s="1"/>
  <c r="H21" i="11"/>
  <c r="H20" i="11"/>
  <c r="I20" i="11" s="1"/>
  <c r="H19" i="11"/>
  <c r="H18" i="11"/>
  <c r="I18" i="11" s="1"/>
  <c r="H17" i="11"/>
  <c r="H16" i="11"/>
  <c r="I16" i="11" s="1"/>
  <c r="H15" i="11"/>
  <c r="H14" i="11"/>
  <c r="H13" i="11"/>
  <c r="I13" i="11" s="1"/>
  <c r="J13" i="11" s="1"/>
  <c r="H12" i="11"/>
  <c r="H11" i="11"/>
  <c r="I11" i="11" s="1"/>
  <c r="J11" i="11" s="1"/>
  <c r="H10" i="11"/>
  <c r="H9" i="11"/>
  <c r="I9" i="11" s="1"/>
  <c r="J9" i="11" s="1"/>
  <c r="H8" i="11"/>
  <c r="H7" i="11"/>
  <c r="I7" i="11" s="1"/>
  <c r="M28" i="12" l="1"/>
  <c r="M36" i="12"/>
  <c r="M15" i="12"/>
  <c r="M49" i="12"/>
  <c r="M13" i="12"/>
  <c r="M30" i="12"/>
  <c r="M19" i="12"/>
  <c r="M10" i="12"/>
  <c r="M16" i="12"/>
  <c r="M45" i="12"/>
  <c r="M34" i="12"/>
  <c r="M26" i="12"/>
  <c r="M37" i="12"/>
  <c r="M46" i="12"/>
  <c r="M22" i="12"/>
  <c r="M14" i="12"/>
  <c r="M44" i="12"/>
  <c r="M32" i="12"/>
  <c r="M20" i="12"/>
  <c r="M53" i="12"/>
  <c r="M31" i="12"/>
  <c r="M29" i="12"/>
  <c r="M27" i="12"/>
  <c r="G57" i="12"/>
  <c r="K7" i="12"/>
  <c r="L7" i="12" s="1"/>
  <c r="L57" i="12" s="1"/>
  <c r="M23" i="12"/>
  <c r="M25" i="12"/>
  <c r="M17" i="12"/>
  <c r="M41" i="12"/>
  <c r="M39" i="12"/>
  <c r="M35" i="12"/>
  <c r="F15" i="11"/>
  <c r="G15" i="11" s="1"/>
  <c r="F17" i="11"/>
  <c r="G17" i="11" s="1"/>
  <c r="F22" i="11"/>
  <c r="G22" i="11" s="1"/>
  <c r="J7" i="11"/>
  <c r="F11" i="11"/>
  <c r="G11" i="11" s="1"/>
  <c r="I10" i="11"/>
  <c r="J10" i="11" s="1"/>
  <c r="I12" i="11"/>
  <c r="J12" i="11" s="1"/>
  <c r="I17" i="11"/>
  <c r="J17" i="11" s="1"/>
  <c r="I19" i="11"/>
  <c r="J19" i="11" s="1"/>
  <c r="I21" i="11"/>
  <c r="J21" i="11" s="1"/>
  <c r="I23" i="11"/>
  <c r="J23" i="11" s="1"/>
  <c r="I25" i="11"/>
  <c r="J25" i="11" s="1"/>
  <c r="I27" i="11"/>
  <c r="J27" i="11" s="1"/>
  <c r="I29" i="11"/>
  <c r="J29" i="11" s="1"/>
  <c r="I31" i="11"/>
  <c r="J31" i="11" s="1"/>
  <c r="I33" i="11"/>
  <c r="J33" i="11" s="1"/>
  <c r="I35" i="11"/>
  <c r="J35" i="11" s="1"/>
  <c r="I37" i="11"/>
  <c r="J37" i="11" s="1"/>
  <c r="I8" i="11"/>
  <c r="J8" i="11" s="1"/>
  <c r="I14" i="11"/>
  <c r="I15" i="11"/>
  <c r="J15" i="11" s="1"/>
  <c r="C57" i="11"/>
  <c r="H57" i="11"/>
  <c r="F8" i="11"/>
  <c r="G8" i="11" s="1"/>
  <c r="F10" i="11"/>
  <c r="G10" i="11" s="1"/>
  <c r="F12" i="11"/>
  <c r="G12" i="11" s="1"/>
  <c r="F14" i="11"/>
  <c r="G14" i="11" s="1"/>
  <c r="J16" i="11"/>
  <c r="J18" i="11"/>
  <c r="J20" i="11"/>
  <c r="J22" i="11"/>
  <c r="J24" i="11"/>
  <c r="J26" i="11"/>
  <c r="J28" i="11"/>
  <c r="J30" i="11"/>
  <c r="J32" i="11"/>
  <c r="J34" i="11"/>
  <c r="J36" i="11"/>
  <c r="F38" i="11"/>
  <c r="G38" i="11" s="1"/>
  <c r="J39" i="11"/>
  <c r="F40" i="11"/>
  <c r="G40" i="11" s="1"/>
  <c r="J41" i="11"/>
  <c r="F42" i="11"/>
  <c r="G42" i="11" s="1"/>
  <c r="J43" i="11"/>
  <c r="F44" i="11"/>
  <c r="G44" i="11" s="1"/>
  <c r="J45" i="11"/>
  <c r="F46" i="11"/>
  <c r="G46" i="11" s="1"/>
  <c r="J47" i="11"/>
  <c r="F48" i="11"/>
  <c r="G48" i="11" s="1"/>
  <c r="J49" i="11"/>
  <c r="F50" i="11"/>
  <c r="G50" i="11" s="1"/>
  <c r="J51" i="11"/>
  <c r="F52" i="11"/>
  <c r="G52" i="11" s="1"/>
  <c r="J53" i="11"/>
  <c r="F54" i="11"/>
  <c r="G54" i="11" s="1"/>
  <c r="M55" i="11"/>
  <c r="F16" i="11"/>
  <c r="G16" i="11" s="1"/>
  <c r="F18" i="11"/>
  <c r="G18" i="11" s="1"/>
  <c r="F19" i="11"/>
  <c r="G19" i="11" s="1"/>
  <c r="F20" i="11"/>
  <c r="G20" i="11" s="1"/>
  <c r="F21" i="11"/>
  <c r="G21" i="11" s="1"/>
  <c r="F23" i="11"/>
  <c r="G23" i="11" s="1"/>
  <c r="F24" i="11"/>
  <c r="G24" i="11" s="1"/>
  <c r="F25" i="11"/>
  <c r="G25" i="11" s="1"/>
  <c r="F26" i="11"/>
  <c r="G26" i="11" s="1"/>
  <c r="F27" i="11"/>
  <c r="G27" i="11" s="1"/>
  <c r="F28" i="11"/>
  <c r="G28" i="11" s="1"/>
  <c r="F29" i="11"/>
  <c r="G29" i="11" s="1"/>
  <c r="F30" i="11"/>
  <c r="G30" i="11" s="1"/>
  <c r="F31" i="11"/>
  <c r="G31" i="11" s="1"/>
  <c r="F32" i="11"/>
  <c r="G32" i="11" s="1"/>
  <c r="F33" i="11"/>
  <c r="G33" i="11" s="1"/>
  <c r="F34" i="11"/>
  <c r="G34" i="11" s="1"/>
  <c r="F35" i="11"/>
  <c r="G35" i="11" s="1"/>
  <c r="F36" i="11"/>
  <c r="G36" i="11" s="1"/>
  <c r="F37" i="11"/>
  <c r="G37" i="11" s="1"/>
  <c r="F7" i="11"/>
  <c r="F9" i="11"/>
  <c r="G9" i="11" s="1"/>
  <c r="F13" i="11"/>
  <c r="G13" i="11" s="1"/>
  <c r="J38" i="11"/>
  <c r="F39" i="11"/>
  <c r="G39" i="11" s="1"/>
  <c r="J40" i="11"/>
  <c r="F41" i="11"/>
  <c r="G41" i="11" s="1"/>
  <c r="J42" i="11"/>
  <c r="F43" i="11"/>
  <c r="G43" i="11" s="1"/>
  <c r="J44" i="11"/>
  <c r="F45" i="11"/>
  <c r="G45" i="11" s="1"/>
  <c r="J46" i="11"/>
  <c r="F47" i="11"/>
  <c r="G47" i="11" s="1"/>
  <c r="J48" i="11"/>
  <c r="F49" i="11"/>
  <c r="G49" i="11" s="1"/>
  <c r="J50" i="11"/>
  <c r="F51" i="11"/>
  <c r="G51" i="11" s="1"/>
  <c r="J52" i="11"/>
  <c r="F53" i="11"/>
  <c r="G53" i="11" s="1"/>
  <c r="I55" i="11"/>
  <c r="J55" i="11" s="1"/>
  <c r="K55" i="11" s="1"/>
  <c r="L55" i="11" s="1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7" i="10"/>
  <c r="M7" i="12" l="1"/>
  <c r="M57" i="12" s="1"/>
  <c r="I57" i="11"/>
  <c r="J14" i="11"/>
  <c r="K45" i="11"/>
  <c r="L45" i="11" s="1"/>
  <c r="K37" i="11"/>
  <c r="L37" i="11" s="1"/>
  <c r="M37" i="11"/>
  <c r="K48" i="11"/>
  <c r="L48" i="11" s="1"/>
  <c r="K11" i="11"/>
  <c r="L11" i="11" s="1"/>
  <c r="K36" i="11"/>
  <c r="L36" i="11" s="1"/>
  <c r="K28" i="11"/>
  <c r="L28" i="11" s="1"/>
  <c r="K51" i="11"/>
  <c r="L51" i="11" s="1"/>
  <c r="M51" i="11"/>
  <c r="K43" i="11"/>
  <c r="L43" i="11" s="1"/>
  <c r="F57" i="11"/>
  <c r="G7" i="11"/>
  <c r="K35" i="11"/>
  <c r="L35" i="11" s="1"/>
  <c r="K31" i="11"/>
  <c r="L31" i="11" s="1"/>
  <c r="K27" i="11"/>
  <c r="L27" i="11" s="1"/>
  <c r="K23" i="11"/>
  <c r="L23" i="11" s="1"/>
  <c r="K18" i="11"/>
  <c r="L18" i="11" s="1"/>
  <c r="K54" i="11"/>
  <c r="L54" i="11" s="1"/>
  <c r="K50" i="11"/>
  <c r="L50" i="11" s="1"/>
  <c r="M46" i="11"/>
  <c r="K46" i="11"/>
  <c r="L46" i="11" s="1"/>
  <c r="K42" i="11"/>
  <c r="L42" i="11" s="1"/>
  <c r="K38" i="11"/>
  <c r="L38" i="11" s="1"/>
  <c r="K14" i="11"/>
  <c r="L14" i="11" s="1"/>
  <c r="K22" i="11"/>
  <c r="L22" i="11" s="1"/>
  <c r="K49" i="11"/>
  <c r="L49" i="11" s="1"/>
  <c r="K13" i="11"/>
  <c r="L13" i="11" s="1"/>
  <c r="K29" i="11"/>
  <c r="L29" i="11" s="1"/>
  <c r="K20" i="11"/>
  <c r="L20" i="11" s="1"/>
  <c r="K52" i="11"/>
  <c r="L52" i="11" s="1"/>
  <c r="K10" i="11"/>
  <c r="L10" i="11" s="1"/>
  <c r="K9" i="11"/>
  <c r="L9" i="11" s="1"/>
  <c r="K32" i="11"/>
  <c r="L32" i="11" s="1"/>
  <c r="K19" i="11"/>
  <c r="L19" i="11" s="1"/>
  <c r="M8" i="11"/>
  <c r="K8" i="11"/>
  <c r="L8" i="11" s="1"/>
  <c r="J57" i="11"/>
  <c r="K47" i="11"/>
  <c r="L47" i="11" s="1"/>
  <c r="M47" i="11"/>
  <c r="K39" i="11"/>
  <c r="L39" i="11" s="1"/>
  <c r="K34" i="11"/>
  <c r="L34" i="11" s="1"/>
  <c r="M30" i="11"/>
  <c r="K30" i="11"/>
  <c r="L30" i="11" s="1"/>
  <c r="K26" i="11"/>
  <c r="L26" i="11" s="1"/>
  <c r="K21" i="11"/>
  <c r="L21" i="11" s="1"/>
  <c r="K16" i="11"/>
  <c r="L16" i="11" s="1"/>
  <c r="K12" i="11"/>
  <c r="L12" i="11" s="1"/>
  <c r="M12" i="11"/>
  <c r="K17" i="11"/>
  <c r="L17" i="11" s="1"/>
  <c r="K53" i="11"/>
  <c r="L53" i="11" s="1"/>
  <c r="K40" i="11"/>
  <c r="L40" i="11" s="1"/>
  <c r="K41" i="11"/>
  <c r="L41" i="11" s="1"/>
  <c r="K33" i="11"/>
  <c r="L33" i="11" s="1"/>
  <c r="M33" i="11"/>
  <c r="K25" i="11"/>
  <c r="L25" i="11" s="1"/>
  <c r="K44" i="11"/>
  <c r="L44" i="11" s="1"/>
  <c r="K15" i="11"/>
  <c r="L15" i="11" s="1"/>
  <c r="K24" i="11"/>
  <c r="L24" i="11" s="1"/>
  <c r="Y57" i="10"/>
  <c r="W57" i="10"/>
  <c r="U57" i="10"/>
  <c r="T57" i="10"/>
  <c r="S57" i="10"/>
  <c r="Q57" i="10"/>
  <c r="P57" i="10"/>
  <c r="O57" i="10"/>
  <c r="D57" i="10"/>
  <c r="H55" i="10"/>
  <c r="H54" i="10"/>
  <c r="I54" i="10" s="1"/>
  <c r="J54" i="10" s="1"/>
  <c r="H53" i="10"/>
  <c r="I53" i="10" s="1"/>
  <c r="H52" i="10"/>
  <c r="H51" i="10"/>
  <c r="I51" i="10" s="1"/>
  <c r="H50" i="10"/>
  <c r="H49" i="10"/>
  <c r="I49" i="10" s="1"/>
  <c r="H48" i="10"/>
  <c r="H47" i="10"/>
  <c r="I47" i="10" s="1"/>
  <c r="H46" i="10"/>
  <c r="H45" i="10"/>
  <c r="I45" i="10" s="1"/>
  <c r="H44" i="10"/>
  <c r="H43" i="10"/>
  <c r="I43" i="10" s="1"/>
  <c r="H42" i="10"/>
  <c r="H41" i="10"/>
  <c r="I41" i="10" s="1"/>
  <c r="H40" i="10"/>
  <c r="H39" i="10"/>
  <c r="I39" i="10" s="1"/>
  <c r="H38" i="10"/>
  <c r="H37" i="10"/>
  <c r="H36" i="10"/>
  <c r="H35" i="10"/>
  <c r="H34" i="10"/>
  <c r="H33" i="10"/>
  <c r="H32" i="10"/>
  <c r="H31" i="10"/>
  <c r="I31" i="10" s="1"/>
  <c r="H30" i="10"/>
  <c r="I30" i="10" s="1"/>
  <c r="J30" i="10" s="1"/>
  <c r="H29" i="10"/>
  <c r="I29" i="10" s="1"/>
  <c r="H28" i="10"/>
  <c r="I28" i="10" s="1"/>
  <c r="J28" i="10" s="1"/>
  <c r="H27" i="10"/>
  <c r="I27" i="10" s="1"/>
  <c r="H26" i="10"/>
  <c r="I26" i="10" s="1"/>
  <c r="J26" i="10" s="1"/>
  <c r="H25" i="10"/>
  <c r="I25" i="10" s="1"/>
  <c r="H24" i="10"/>
  <c r="I24" i="10" s="1"/>
  <c r="J24" i="10" s="1"/>
  <c r="H23" i="10"/>
  <c r="I23" i="10" s="1"/>
  <c r="H22" i="10"/>
  <c r="I22" i="10" s="1"/>
  <c r="J22" i="10" s="1"/>
  <c r="H21" i="10"/>
  <c r="I21" i="10" s="1"/>
  <c r="H20" i="10"/>
  <c r="I20" i="10" s="1"/>
  <c r="J20" i="10" s="1"/>
  <c r="H19" i="10"/>
  <c r="I19" i="10" s="1"/>
  <c r="H18" i="10"/>
  <c r="I18" i="10" s="1"/>
  <c r="J18" i="10" s="1"/>
  <c r="H17" i="10"/>
  <c r="I17" i="10" s="1"/>
  <c r="H16" i="10"/>
  <c r="I16" i="10" s="1"/>
  <c r="J16" i="10" s="1"/>
  <c r="H15" i="10"/>
  <c r="I15" i="10" s="1"/>
  <c r="H14" i="10"/>
  <c r="I14" i="10" s="1"/>
  <c r="J14" i="10" s="1"/>
  <c r="H13" i="10"/>
  <c r="I13" i="10" s="1"/>
  <c r="J13" i="10" s="1"/>
  <c r="H12" i="10"/>
  <c r="H11" i="10"/>
  <c r="I11" i="10" s="1"/>
  <c r="J11" i="10" s="1"/>
  <c r="H10" i="10"/>
  <c r="H9" i="10"/>
  <c r="I9" i="10" s="1"/>
  <c r="J9" i="10" s="1"/>
  <c r="H8" i="10"/>
  <c r="H7" i="10"/>
  <c r="M31" i="11" l="1"/>
  <c r="M44" i="11"/>
  <c r="M32" i="11"/>
  <c r="M14" i="11"/>
  <c r="M18" i="11"/>
  <c r="M10" i="11"/>
  <c r="M22" i="11"/>
  <c r="M50" i="11"/>
  <c r="M23" i="11"/>
  <c r="M28" i="11"/>
  <c r="M13" i="11"/>
  <c r="M17" i="11"/>
  <c r="M19" i="11"/>
  <c r="M49" i="11"/>
  <c r="M29" i="11"/>
  <c r="M45" i="11"/>
  <c r="M27" i="11"/>
  <c r="M35" i="11"/>
  <c r="M43" i="11"/>
  <c r="M20" i="11"/>
  <c r="M54" i="11"/>
  <c r="M48" i="11"/>
  <c r="K7" i="11"/>
  <c r="L7" i="11" s="1"/>
  <c r="L57" i="11" s="1"/>
  <c r="M38" i="11"/>
  <c r="M36" i="11"/>
  <c r="M24" i="11"/>
  <c r="M40" i="11"/>
  <c r="M16" i="11"/>
  <c r="M26" i="11"/>
  <c r="M34" i="11"/>
  <c r="M15" i="11"/>
  <c r="M25" i="11"/>
  <c r="M41" i="11"/>
  <c r="M53" i="11"/>
  <c r="M21" i="11"/>
  <c r="M39" i="11"/>
  <c r="M9" i="11"/>
  <c r="M52" i="11"/>
  <c r="M42" i="11"/>
  <c r="M11" i="11"/>
  <c r="I52" i="10"/>
  <c r="J52" i="10" s="1"/>
  <c r="I34" i="10"/>
  <c r="J34" i="10" s="1"/>
  <c r="I38" i="10"/>
  <c r="J38" i="10" s="1"/>
  <c r="I46" i="10"/>
  <c r="J46" i="10" s="1"/>
  <c r="I33" i="10"/>
  <c r="J33" i="10" s="1"/>
  <c r="I44" i="10"/>
  <c r="J44" i="10" s="1"/>
  <c r="I10" i="10"/>
  <c r="J10" i="10" s="1"/>
  <c r="C57" i="10"/>
  <c r="J15" i="10"/>
  <c r="J17" i="10"/>
  <c r="J19" i="10"/>
  <c r="J23" i="10"/>
  <c r="J25" i="10"/>
  <c r="J27" i="10"/>
  <c r="J29" i="10"/>
  <c r="J31" i="10"/>
  <c r="I35" i="10"/>
  <c r="J35" i="10"/>
  <c r="I40" i="10"/>
  <c r="J40" i="10" s="1"/>
  <c r="I48" i="10"/>
  <c r="J48" i="10" s="1"/>
  <c r="I37" i="10"/>
  <c r="J37" i="10"/>
  <c r="I8" i="10"/>
  <c r="J8" i="10" s="1"/>
  <c r="I12" i="10"/>
  <c r="J12" i="10" s="1"/>
  <c r="H57" i="10"/>
  <c r="J21" i="10"/>
  <c r="E57" i="10"/>
  <c r="I7" i="10"/>
  <c r="I32" i="10"/>
  <c r="J32" i="10" s="1"/>
  <c r="I36" i="10"/>
  <c r="J36" i="10" s="1"/>
  <c r="I42" i="10"/>
  <c r="J42" i="10" s="1"/>
  <c r="I50" i="10"/>
  <c r="J50" i="10" s="1"/>
  <c r="J39" i="10"/>
  <c r="J41" i="10"/>
  <c r="J43" i="10"/>
  <c r="J45" i="10"/>
  <c r="J47" i="10"/>
  <c r="J49" i="10"/>
  <c r="J51" i="10"/>
  <c r="J53" i="10"/>
  <c r="I55" i="10"/>
  <c r="J55" i="10" s="1"/>
  <c r="M7" i="11" l="1"/>
  <c r="M57" i="11" s="1"/>
  <c r="F55" i="10"/>
  <c r="G55" i="10" s="1"/>
  <c r="F54" i="10"/>
  <c r="G54" i="10" s="1"/>
  <c r="F53" i="10"/>
  <c r="G53" i="10" s="1"/>
  <c r="F52" i="10"/>
  <c r="G52" i="10" s="1"/>
  <c r="F51" i="10"/>
  <c r="G51" i="10" s="1"/>
  <c r="F50" i="10"/>
  <c r="G50" i="10" s="1"/>
  <c r="F49" i="10"/>
  <c r="G49" i="10" s="1"/>
  <c r="F48" i="10"/>
  <c r="G48" i="10" s="1"/>
  <c r="F47" i="10"/>
  <c r="G47" i="10" s="1"/>
  <c r="F46" i="10"/>
  <c r="G46" i="10" s="1"/>
  <c r="F45" i="10"/>
  <c r="G45" i="10" s="1"/>
  <c r="F44" i="10"/>
  <c r="G44" i="10" s="1"/>
  <c r="F43" i="10"/>
  <c r="G43" i="10" s="1"/>
  <c r="F42" i="10"/>
  <c r="G42" i="10" s="1"/>
  <c r="F41" i="10"/>
  <c r="G41" i="10" s="1"/>
  <c r="F40" i="10"/>
  <c r="G40" i="10" s="1"/>
  <c r="F39" i="10"/>
  <c r="G39" i="10" s="1"/>
  <c r="F38" i="10"/>
  <c r="G38" i="10" s="1"/>
  <c r="F37" i="10"/>
  <c r="G37" i="10" s="1"/>
  <c r="F36" i="10"/>
  <c r="G36" i="10" s="1"/>
  <c r="F35" i="10"/>
  <c r="G35" i="10" s="1"/>
  <c r="F34" i="10"/>
  <c r="G34" i="10" s="1"/>
  <c r="F33" i="10"/>
  <c r="G33" i="10" s="1"/>
  <c r="F32" i="10"/>
  <c r="G32" i="10" s="1"/>
  <c r="F31" i="10"/>
  <c r="G31" i="10" s="1"/>
  <c r="F30" i="10"/>
  <c r="G30" i="10" s="1"/>
  <c r="F29" i="10"/>
  <c r="G29" i="10" s="1"/>
  <c r="F28" i="10"/>
  <c r="G28" i="10" s="1"/>
  <c r="F27" i="10"/>
  <c r="G27" i="10" s="1"/>
  <c r="F26" i="10"/>
  <c r="G26" i="10" s="1"/>
  <c r="F25" i="10"/>
  <c r="G25" i="10" s="1"/>
  <c r="F24" i="10"/>
  <c r="G24" i="10" s="1"/>
  <c r="F23" i="10"/>
  <c r="G23" i="10" s="1"/>
  <c r="F22" i="10"/>
  <c r="G22" i="10" s="1"/>
  <c r="F21" i="10"/>
  <c r="G21" i="10" s="1"/>
  <c r="F20" i="10"/>
  <c r="G20" i="10" s="1"/>
  <c r="F19" i="10"/>
  <c r="G19" i="10" s="1"/>
  <c r="F18" i="10"/>
  <c r="G18" i="10" s="1"/>
  <c r="F17" i="10"/>
  <c r="G17" i="10" s="1"/>
  <c r="F16" i="10"/>
  <c r="G16" i="10" s="1"/>
  <c r="F15" i="10"/>
  <c r="G15" i="10" s="1"/>
  <c r="F12" i="10"/>
  <c r="G12" i="10" s="1"/>
  <c r="F8" i="10"/>
  <c r="G8" i="10" s="1"/>
  <c r="F14" i="10"/>
  <c r="G14" i="10" s="1"/>
  <c r="F10" i="10"/>
  <c r="G10" i="10" s="1"/>
  <c r="F13" i="10"/>
  <c r="G13" i="10" s="1"/>
  <c r="F11" i="10"/>
  <c r="G11" i="10" s="1"/>
  <c r="F9" i="10"/>
  <c r="G9" i="10" s="1"/>
  <c r="F7" i="10"/>
  <c r="I57" i="10"/>
  <c r="J7" i="10"/>
  <c r="J57" i="10" s="1"/>
  <c r="K10" i="10" l="1"/>
  <c r="L10" i="10" s="1"/>
  <c r="M10" i="10"/>
  <c r="K9" i="10"/>
  <c r="L9" i="10" s="1"/>
  <c r="K16" i="10"/>
  <c r="L16" i="10" s="1"/>
  <c r="K28" i="10"/>
  <c r="L28" i="10" s="1"/>
  <c r="M28" i="10"/>
  <c r="K48" i="10"/>
  <c r="L48" i="10" s="1"/>
  <c r="K15" i="10"/>
  <c r="L15" i="10" s="1"/>
  <c r="K14" i="10"/>
  <c r="L14" i="10" s="1"/>
  <c r="M14" i="10"/>
  <c r="K20" i="10"/>
  <c r="L20" i="10" s="1"/>
  <c r="K24" i="10"/>
  <c r="L24" i="10" s="1"/>
  <c r="K32" i="10"/>
  <c r="L32" i="10" s="1"/>
  <c r="K36" i="10"/>
  <c r="L36" i="10" s="1"/>
  <c r="K40" i="10"/>
  <c r="L40" i="10" s="1"/>
  <c r="K44" i="10"/>
  <c r="L44" i="10" s="1"/>
  <c r="K52" i="10"/>
  <c r="L52" i="10" s="1"/>
  <c r="K11" i="10"/>
  <c r="L11" i="10" s="1"/>
  <c r="K8" i="10"/>
  <c r="L8" i="10" s="1"/>
  <c r="M8" i="10"/>
  <c r="K17" i="10"/>
  <c r="L17" i="10" s="1"/>
  <c r="K21" i="10"/>
  <c r="L21" i="10" s="1"/>
  <c r="K25" i="10"/>
  <c r="L25" i="10" s="1"/>
  <c r="K29" i="10"/>
  <c r="L29" i="10" s="1"/>
  <c r="K33" i="10"/>
  <c r="L33" i="10" s="1"/>
  <c r="K37" i="10"/>
  <c r="L37" i="10" s="1"/>
  <c r="K41" i="10"/>
  <c r="L41" i="10" s="1"/>
  <c r="K45" i="10"/>
  <c r="L45" i="10" s="1"/>
  <c r="K49" i="10"/>
  <c r="L49" i="10" s="1"/>
  <c r="K53" i="10"/>
  <c r="L53" i="10" s="1"/>
  <c r="K13" i="10"/>
  <c r="L13" i="10" s="1"/>
  <c r="K12" i="10"/>
  <c r="L12" i="10" s="1"/>
  <c r="M12" i="10"/>
  <c r="K18" i="10"/>
  <c r="L18" i="10" s="1"/>
  <c r="M18" i="10"/>
  <c r="K22" i="10"/>
  <c r="L22" i="10" s="1"/>
  <c r="K26" i="10"/>
  <c r="L26" i="10" s="1"/>
  <c r="K30" i="10"/>
  <c r="L30" i="10" s="1"/>
  <c r="M30" i="10"/>
  <c r="K34" i="10"/>
  <c r="L34" i="10" s="1"/>
  <c r="K38" i="10"/>
  <c r="L38" i="10" s="1"/>
  <c r="K42" i="10"/>
  <c r="L42" i="10" s="1"/>
  <c r="K46" i="10"/>
  <c r="L46" i="10" s="1"/>
  <c r="M46" i="10"/>
  <c r="K50" i="10"/>
  <c r="L50" i="10" s="1"/>
  <c r="K54" i="10"/>
  <c r="L54" i="10" s="1"/>
  <c r="F57" i="10"/>
  <c r="G7" i="10"/>
  <c r="K19" i="10"/>
  <c r="L19" i="10" s="1"/>
  <c r="K23" i="10"/>
  <c r="L23" i="10" s="1"/>
  <c r="K27" i="10"/>
  <c r="L27" i="10" s="1"/>
  <c r="K31" i="10"/>
  <c r="L31" i="10" s="1"/>
  <c r="K35" i="10"/>
  <c r="L35" i="10" s="1"/>
  <c r="K39" i="10"/>
  <c r="L39" i="10" s="1"/>
  <c r="K43" i="10"/>
  <c r="L43" i="10" s="1"/>
  <c r="M47" i="10"/>
  <c r="K47" i="10"/>
  <c r="L47" i="10" s="1"/>
  <c r="M51" i="10"/>
  <c r="K51" i="10"/>
  <c r="L51" i="10" s="1"/>
  <c r="M55" i="10"/>
  <c r="K55" i="10"/>
  <c r="L55" i="10" s="1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7" i="9"/>
  <c r="M34" i="10" l="1"/>
  <c r="M26" i="10"/>
  <c r="M36" i="10"/>
  <c r="M11" i="10"/>
  <c r="M31" i="10"/>
  <c r="M39" i="10"/>
  <c r="M53" i="10"/>
  <c r="M24" i="10"/>
  <c r="M23" i="10"/>
  <c r="M54" i="10"/>
  <c r="M40" i="10"/>
  <c r="M32" i="10"/>
  <c r="M20" i="10"/>
  <c r="M16" i="10"/>
  <c r="M27" i="10"/>
  <c r="M19" i="10"/>
  <c r="M17" i="10"/>
  <c r="M9" i="10"/>
  <c r="M43" i="10"/>
  <c r="M38" i="10"/>
  <c r="M22" i="10"/>
  <c r="M25" i="10"/>
  <c r="M52" i="10"/>
  <c r="M35" i="10"/>
  <c r="M45" i="10"/>
  <c r="M37" i="10"/>
  <c r="M29" i="10"/>
  <c r="M21" i="10"/>
  <c r="M15" i="10"/>
  <c r="G57" i="10"/>
  <c r="K7" i="10"/>
  <c r="L7" i="10" s="1"/>
  <c r="L57" i="10" s="1"/>
  <c r="M50" i="10"/>
  <c r="M42" i="10"/>
  <c r="M44" i="10"/>
  <c r="M48" i="10"/>
  <c r="M13" i="10"/>
  <c r="M49" i="10"/>
  <c r="M41" i="10"/>
  <c r="M33" i="10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7" i="9"/>
  <c r="Y57" i="9"/>
  <c r="W57" i="9"/>
  <c r="U57" i="9"/>
  <c r="T57" i="9"/>
  <c r="S57" i="9"/>
  <c r="Q57" i="9"/>
  <c r="P57" i="9"/>
  <c r="O57" i="9"/>
  <c r="D57" i="9"/>
  <c r="H55" i="9"/>
  <c r="H54" i="9"/>
  <c r="I54" i="9" s="1"/>
  <c r="H53" i="9"/>
  <c r="I53" i="9" s="1"/>
  <c r="H52" i="9"/>
  <c r="I52" i="9" s="1"/>
  <c r="H51" i="9"/>
  <c r="I51" i="9" s="1"/>
  <c r="H50" i="9"/>
  <c r="I50" i="9" s="1"/>
  <c r="H49" i="9"/>
  <c r="I49" i="9" s="1"/>
  <c r="H48" i="9"/>
  <c r="I48" i="9" s="1"/>
  <c r="H47" i="9"/>
  <c r="I47" i="9" s="1"/>
  <c r="H46" i="9"/>
  <c r="I46" i="9" s="1"/>
  <c r="H45" i="9"/>
  <c r="I45" i="9" s="1"/>
  <c r="H44" i="9"/>
  <c r="I44" i="9" s="1"/>
  <c r="H43" i="9"/>
  <c r="I43" i="9" s="1"/>
  <c r="H42" i="9"/>
  <c r="I42" i="9" s="1"/>
  <c r="H41" i="9"/>
  <c r="I41" i="9" s="1"/>
  <c r="H40" i="9"/>
  <c r="I40" i="9" s="1"/>
  <c r="H39" i="9"/>
  <c r="I39" i="9" s="1"/>
  <c r="H38" i="9"/>
  <c r="I38" i="9" s="1"/>
  <c r="H37" i="9"/>
  <c r="I37" i="9" s="1"/>
  <c r="H36" i="9"/>
  <c r="I36" i="9" s="1"/>
  <c r="H35" i="9"/>
  <c r="I35" i="9" s="1"/>
  <c r="H34" i="9"/>
  <c r="I34" i="9" s="1"/>
  <c r="H33" i="9"/>
  <c r="I33" i="9" s="1"/>
  <c r="H32" i="9"/>
  <c r="I32" i="9" s="1"/>
  <c r="H31" i="9"/>
  <c r="I31" i="9" s="1"/>
  <c r="H30" i="9"/>
  <c r="I30" i="9" s="1"/>
  <c r="H29" i="9"/>
  <c r="I29" i="9" s="1"/>
  <c r="H28" i="9"/>
  <c r="I28" i="9" s="1"/>
  <c r="J28" i="9" s="1"/>
  <c r="H27" i="9"/>
  <c r="I27" i="9" s="1"/>
  <c r="H26" i="9"/>
  <c r="I26" i="9" s="1"/>
  <c r="H25" i="9"/>
  <c r="I25" i="9" s="1"/>
  <c r="H24" i="9"/>
  <c r="I24" i="9" s="1"/>
  <c r="H23" i="9"/>
  <c r="I23" i="9" s="1"/>
  <c r="H22" i="9"/>
  <c r="I22" i="9" s="1"/>
  <c r="H21" i="9"/>
  <c r="H20" i="9"/>
  <c r="H19" i="9"/>
  <c r="H18" i="9"/>
  <c r="H17" i="9"/>
  <c r="H16" i="9"/>
  <c r="I16" i="9" s="1"/>
  <c r="J16" i="9" s="1"/>
  <c r="H15" i="9"/>
  <c r="I15" i="9" s="1"/>
  <c r="H14" i="9"/>
  <c r="I14" i="9" s="1"/>
  <c r="J14" i="9" s="1"/>
  <c r="H13" i="9"/>
  <c r="I13" i="9" s="1"/>
  <c r="H12" i="9"/>
  <c r="I12" i="9" s="1"/>
  <c r="J12" i="9" s="1"/>
  <c r="H11" i="9"/>
  <c r="I11" i="9" s="1"/>
  <c r="H10" i="9"/>
  <c r="I10" i="9" s="1"/>
  <c r="J10" i="9" s="1"/>
  <c r="H9" i="9"/>
  <c r="I9" i="9" s="1"/>
  <c r="H8" i="9"/>
  <c r="I8" i="9" s="1"/>
  <c r="J8" i="9" s="1"/>
  <c r="H7" i="9"/>
  <c r="E57" i="9"/>
  <c r="F27" i="9" s="1"/>
  <c r="G27" i="9" s="1"/>
  <c r="J30" i="9" l="1"/>
  <c r="M7" i="10"/>
  <c r="M57" i="10" s="1"/>
  <c r="C57" i="9"/>
  <c r="J38" i="9"/>
  <c r="J46" i="9"/>
  <c r="J54" i="9"/>
  <c r="J48" i="9"/>
  <c r="J24" i="9"/>
  <c r="J34" i="9"/>
  <c r="J42" i="9"/>
  <c r="J50" i="9"/>
  <c r="J36" i="9"/>
  <c r="J44" i="9"/>
  <c r="J52" i="9"/>
  <c r="J32" i="9"/>
  <c r="J40" i="9"/>
  <c r="I19" i="9"/>
  <c r="J19" i="9"/>
  <c r="H57" i="9"/>
  <c r="I7" i="9"/>
  <c r="M27" i="9"/>
  <c r="F55" i="9"/>
  <c r="G55" i="9" s="1"/>
  <c r="F54" i="9"/>
  <c r="G54" i="9" s="1"/>
  <c r="F52" i="9"/>
  <c r="G52" i="9" s="1"/>
  <c r="F50" i="9"/>
  <c r="G50" i="9" s="1"/>
  <c r="F48" i="9"/>
  <c r="G48" i="9" s="1"/>
  <c r="F46" i="9"/>
  <c r="G46" i="9" s="1"/>
  <c r="F44" i="9"/>
  <c r="G44" i="9" s="1"/>
  <c r="F42" i="9"/>
  <c r="G42" i="9" s="1"/>
  <c r="F40" i="9"/>
  <c r="G40" i="9" s="1"/>
  <c r="F38" i="9"/>
  <c r="G38" i="9" s="1"/>
  <c r="F36" i="9"/>
  <c r="G36" i="9" s="1"/>
  <c r="F34" i="9"/>
  <c r="G34" i="9" s="1"/>
  <c r="F32" i="9"/>
  <c r="G32" i="9" s="1"/>
  <c r="F30" i="9"/>
  <c r="G30" i="9" s="1"/>
  <c r="F28" i="9"/>
  <c r="G28" i="9" s="1"/>
  <c r="F26" i="9"/>
  <c r="G26" i="9" s="1"/>
  <c r="F24" i="9"/>
  <c r="G24" i="9" s="1"/>
  <c r="F22" i="9"/>
  <c r="G22" i="9" s="1"/>
  <c r="F21" i="9"/>
  <c r="G21" i="9" s="1"/>
  <c r="F20" i="9"/>
  <c r="G20" i="9" s="1"/>
  <c r="F19" i="9"/>
  <c r="G19" i="9" s="1"/>
  <c r="F18" i="9"/>
  <c r="G18" i="9" s="1"/>
  <c r="F17" i="9"/>
  <c r="G17" i="9" s="1"/>
  <c r="F16" i="9"/>
  <c r="G16" i="9" s="1"/>
  <c r="F15" i="9"/>
  <c r="G15" i="9" s="1"/>
  <c r="J7" i="9"/>
  <c r="J9" i="9"/>
  <c r="J11" i="9"/>
  <c r="J13" i="9"/>
  <c r="I20" i="9"/>
  <c r="J20" i="9" s="1"/>
  <c r="J26" i="9"/>
  <c r="F29" i="9"/>
  <c r="G29" i="9" s="1"/>
  <c r="F31" i="9"/>
  <c r="G31" i="9" s="1"/>
  <c r="F33" i="9"/>
  <c r="G33" i="9" s="1"/>
  <c r="F35" i="9"/>
  <c r="G35" i="9" s="1"/>
  <c r="F37" i="9"/>
  <c r="G37" i="9" s="1"/>
  <c r="F39" i="9"/>
  <c r="G39" i="9" s="1"/>
  <c r="F41" i="9"/>
  <c r="G41" i="9" s="1"/>
  <c r="F43" i="9"/>
  <c r="G43" i="9" s="1"/>
  <c r="F45" i="9"/>
  <c r="G45" i="9" s="1"/>
  <c r="F47" i="9"/>
  <c r="G47" i="9" s="1"/>
  <c r="F49" i="9"/>
  <c r="G49" i="9" s="1"/>
  <c r="F51" i="9"/>
  <c r="G51" i="9" s="1"/>
  <c r="F53" i="9"/>
  <c r="G53" i="9" s="1"/>
  <c r="F7" i="9"/>
  <c r="F8" i="9"/>
  <c r="G8" i="9" s="1"/>
  <c r="F9" i="9"/>
  <c r="G9" i="9" s="1"/>
  <c r="F10" i="9"/>
  <c r="G10" i="9" s="1"/>
  <c r="F11" i="9"/>
  <c r="G11" i="9" s="1"/>
  <c r="F12" i="9"/>
  <c r="G12" i="9" s="1"/>
  <c r="F13" i="9"/>
  <c r="G13" i="9" s="1"/>
  <c r="F14" i="9"/>
  <c r="G14" i="9" s="1"/>
  <c r="I17" i="9"/>
  <c r="J17" i="9" s="1"/>
  <c r="I21" i="9"/>
  <c r="J21" i="9" s="1"/>
  <c r="F23" i="9"/>
  <c r="G23" i="9" s="1"/>
  <c r="J15" i="9"/>
  <c r="I18" i="9"/>
  <c r="J18" i="9" s="1"/>
  <c r="J22" i="9"/>
  <c r="F25" i="9"/>
  <c r="G25" i="9" s="1"/>
  <c r="J23" i="9"/>
  <c r="J25" i="9"/>
  <c r="J27" i="9"/>
  <c r="K27" i="9" s="1"/>
  <c r="L27" i="9" s="1"/>
  <c r="J29" i="9"/>
  <c r="J31" i="9"/>
  <c r="J33" i="9"/>
  <c r="J35" i="9"/>
  <c r="J37" i="9"/>
  <c r="J39" i="9"/>
  <c r="J41" i="9"/>
  <c r="J43" i="9"/>
  <c r="J45" i="9"/>
  <c r="J47" i="9"/>
  <c r="J49" i="9"/>
  <c r="J51" i="9"/>
  <c r="J53" i="9"/>
  <c r="I55" i="9"/>
  <c r="J55" i="9" s="1"/>
  <c r="T57" i="8"/>
  <c r="S57" i="8"/>
  <c r="Y57" i="8"/>
  <c r="W57" i="8"/>
  <c r="K8" i="9" l="1"/>
  <c r="L8" i="9" s="1"/>
  <c r="M8" i="9"/>
  <c r="K41" i="9"/>
  <c r="L41" i="9" s="1"/>
  <c r="K33" i="9"/>
  <c r="L33" i="9" s="1"/>
  <c r="K18" i="9"/>
  <c r="L18" i="9" s="1"/>
  <c r="K22" i="9"/>
  <c r="L22" i="9" s="1"/>
  <c r="K38" i="9"/>
  <c r="L38" i="9" s="1"/>
  <c r="K46" i="9"/>
  <c r="L46" i="9" s="1"/>
  <c r="M11" i="9"/>
  <c r="K11" i="9"/>
  <c r="L11" i="9" s="1"/>
  <c r="F57" i="9"/>
  <c r="G7" i="9"/>
  <c r="K47" i="9"/>
  <c r="L47" i="9" s="1"/>
  <c r="M47" i="9"/>
  <c r="K39" i="9"/>
  <c r="L39" i="9" s="1"/>
  <c r="M39" i="9"/>
  <c r="K31" i="9"/>
  <c r="L31" i="9" s="1"/>
  <c r="M31" i="9"/>
  <c r="K15" i="9"/>
  <c r="L15" i="9" s="1"/>
  <c r="M19" i="9"/>
  <c r="K19" i="9"/>
  <c r="L19" i="9" s="1"/>
  <c r="K24" i="9"/>
  <c r="L24" i="9" s="1"/>
  <c r="K32" i="9"/>
  <c r="L32" i="9" s="1"/>
  <c r="K40" i="9"/>
  <c r="L40" i="9" s="1"/>
  <c r="K48" i="9"/>
  <c r="L48" i="9" s="1"/>
  <c r="K55" i="9"/>
  <c r="L55" i="9" s="1"/>
  <c r="M55" i="9"/>
  <c r="I57" i="9"/>
  <c r="K14" i="9"/>
  <c r="L14" i="9" s="1"/>
  <c r="M14" i="9"/>
  <c r="K10" i="9"/>
  <c r="L10" i="9" s="1"/>
  <c r="K53" i="9"/>
  <c r="L53" i="9" s="1"/>
  <c r="M53" i="9"/>
  <c r="K45" i="9"/>
  <c r="L45" i="9" s="1"/>
  <c r="K37" i="9"/>
  <c r="L37" i="9" s="1"/>
  <c r="K29" i="9"/>
  <c r="L29" i="9" s="1"/>
  <c r="K16" i="9"/>
  <c r="L16" i="9" s="1"/>
  <c r="M16" i="9"/>
  <c r="K20" i="9"/>
  <c r="L20" i="9" s="1"/>
  <c r="K26" i="9"/>
  <c r="L26" i="9" s="1"/>
  <c r="K34" i="9"/>
  <c r="L34" i="9" s="1"/>
  <c r="K42" i="9"/>
  <c r="L42" i="9" s="1"/>
  <c r="K50" i="9"/>
  <c r="L50" i="9" s="1"/>
  <c r="K13" i="9"/>
  <c r="L13" i="9" s="1"/>
  <c r="K51" i="9"/>
  <c r="L51" i="9" s="1"/>
  <c r="M51" i="9"/>
  <c r="K35" i="9"/>
  <c r="L35" i="9" s="1"/>
  <c r="K17" i="9"/>
  <c r="L17" i="9" s="1"/>
  <c r="K21" i="9"/>
  <c r="L21" i="9" s="1"/>
  <c r="K28" i="9"/>
  <c r="L28" i="9" s="1"/>
  <c r="K36" i="9"/>
  <c r="L36" i="9" s="1"/>
  <c r="K44" i="9"/>
  <c r="L44" i="9" s="1"/>
  <c r="K52" i="9"/>
  <c r="L52" i="9" s="1"/>
  <c r="M9" i="9"/>
  <c r="K9" i="9"/>
  <c r="L9" i="9" s="1"/>
  <c r="K43" i="9"/>
  <c r="L43" i="9" s="1"/>
  <c r="K25" i="9"/>
  <c r="L25" i="9" s="1"/>
  <c r="K23" i="9"/>
  <c r="L23" i="9" s="1"/>
  <c r="K12" i="9"/>
  <c r="L12" i="9" s="1"/>
  <c r="K49" i="9"/>
  <c r="L49" i="9" s="1"/>
  <c r="J57" i="9"/>
  <c r="M30" i="9"/>
  <c r="K30" i="9"/>
  <c r="L30" i="9" s="1"/>
  <c r="K54" i="9"/>
  <c r="L54" i="9" s="1"/>
  <c r="K26" i="6"/>
  <c r="O14" i="6"/>
  <c r="K69" i="1"/>
  <c r="D8" i="1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U57" i="8"/>
  <c r="Q57" i="8"/>
  <c r="P57" i="8"/>
  <c r="O57" i="8"/>
  <c r="D57" i="8"/>
  <c r="H55" i="8"/>
  <c r="H54" i="8"/>
  <c r="I54" i="8" s="1"/>
  <c r="J54" i="8" s="1"/>
  <c r="H53" i="8"/>
  <c r="H52" i="8"/>
  <c r="I52" i="8" s="1"/>
  <c r="J52" i="8" s="1"/>
  <c r="H51" i="8"/>
  <c r="H50" i="8"/>
  <c r="I50" i="8" s="1"/>
  <c r="J50" i="8" s="1"/>
  <c r="H49" i="8"/>
  <c r="H48" i="8"/>
  <c r="I48" i="8" s="1"/>
  <c r="J48" i="8" s="1"/>
  <c r="H47" i="8"/>
  <c r="H46" i="8"/>
  <c r="I46" i="8" s="1"/>
  <c r="J46" i="8" s="1"/>
  <c r="H45" i="8"/>
  <c r="H44" i="8"/>
  <c r="I44" i="8" s="1"/>
  <c r="J44" i="8" s="1"/>
  <c r="H43" i="8"/>
  <c r="H42" i="8"/>
  <c r="I42" i="8" s="1"/>
  <c r="J42" i="8" s="1"/>
  <c r="H41" i="8"/>
  <c r="H40" i="8"/>
  <c r="I40" i="8" s="1"/>
  <c r="J40" i="8" s="1"/>
  <c r="H39" i="8"/>
  <c r="H38" i="8"/>
  <c r="I38" i="8" s="1"/>
  <c r="J38" i="8" s="1"/>
  <c r="H37" i="8"/>
  <c r="H36" i="8"/>
  <c r="I36" i="8" s="1"/>
  <c r="J36" i="8" s="1"/>
  <c r="H35" i="8"/>
  <c r="H34" i="8"/>
  <c r="I34" i="8" s="1"/>
  <c r="J34" i="8" s="1"/>
  <c r="H33" i="8"/>
  <c r="H32" i="8"/>
  <c r="I32" i="8" s="1"/>
  <c r="J32" i="8" s="1"/>
  <c r="H31" i="8"/>
  <c r="I31" i="8" s="1"/>
  <c r="H30" i="8"/>
  <c r="H29" i="8"/>
  <c r="I29" i="8" s="1"/>
  <c r="H28" i="8"/>
  <c r="H27" i="8"/>
  <c r="I27" i="8" s="1"/>
  <c r="H26" i="8"/>
  <c r="H25" i="8"/>
  <c r="I25" i="8" s="1"/>
  <c r="H24" i="8"/>
  <c r="H23" i="8"/>
  <c r="I23" i="8" s="1"/>
  <c r="H22" i="8"/>
  <c r="H21" i="8"/>
  <c r="I21" i="8" s="1"/>
  <c r="H20" i="8"/>
  <c r="H19" i="8"/>
  <c r="I19" i="8" s="1"/>
  <c r="H18" i="8"/>
  <c r="H17" i="8"/>
  <c r="I17" i="8" s="1"/>
  <c r="H16" i="8"/>
  <c r="H15" i="8"/>
  <c r="I15" i="8" s="1"/>
  <c r="H14" i="8"/>
  <c r="H13" i="8"/>
  <c r="I13" i="8" s="1"/>
  <c r="J13" i="8" s="1"/>
  <c r="H12" i="8"/>
  <c r="H11" i="8"/>
  <c r="I11" i="8" s="1"/>
  <c r="H10" i="8"/>
  <c r="H9" i="8"/>
  <c r="I9" i="8" s="1"/>
  <c r="J9" i="8" s="1"/>
  <c r="H8" i="8"/>
  <c r="H7" i="8"/>
  <c r="I7" i="8" s="1"/>
  <c r="E57" i="8"/>
  <c r="F38" i="8" s="1"/>
  <c r="G38" i="8" s="1"/>
  <c r="M42" i="9" l="1"/>
  <c r="M26" i="6"/>
  <c r="L26" i="6"/>
  <c r="M37" i="9"/>
  <c r="M23" i="9"/>
  <c r="M29" i="9"/>
  <c r="M50" i="9"/>
  <c r="M12" i="9"/>
  <c r="M25" i="9"/>
  <c r="M35" i="9"/>
  <c r="M38" i="9"/>
  <c r="M43" i="9"/>
  <c r="M45" i="9"/>
  <c r="M10" i="9"/>
  <c r="M44" i="9"/>
  <c r="M49" i="9"/>
  <c r="M20" i="9"/>
  <c r="M48" i="9"/>
  <c r="M15" i="9"/>
  <c r="M46" i="9"/>
  <c r="M32" i="9"/>
  <c r="M52" i="9"/>
  <c r="M13" i="9"/>
  <c r="M33" i="9"/>
  <c r="M34" i="9"/>
  <c r="M54" i="9"/>
  <c r="M36" i="9"/>
  <c r="M21" i="9"/>
  <c r="M26" i="9"/>
  <c r="M18" i="9"/>
  <c r="M41" i="9"/>
  <c r="M28" i="9"/>
  <c r="G57" i="9"/>
  <c r="M7" i="9"/>
  <c r="K7" i="9"/>
  <c r="L7" i="9" s="1"/>
  <c r="L57" i="9" s="1"/>
  <c r="M17" i="9"/>
  <c r="M40" i="9"/>
  <c r="M24" i="9"/>
  <c r="M22" i="9"/>
  <c r="F55" i="8"/>
  <c r="N26" i="6"/>
  <c r="O26" i="6"/>
  <c r="J11" i="8"/>
  <c r="L14" i="6"/>
  <c r="M14" i="6"/>
  <c r="N14" i="6"/>
  <c r="K14" i="6"/>
  <c r="K38" i="8"/>
  <c r="L38" i="8" s="1"/>
  <c r="F15" i="8"/>
  <c r="G15" i="8" s="1"/>
  <c r="F16" i="8"/>
  <c r="G16" i="8" s="1"/>
  <c r="F17" i="8"/>
  <c r="G17" i="8" s="1"/>
  <c r="F20" i="8"/>
  <c r="G20" i="8" s="1"/>
  <c r="F21" i="8"/>
  <c r="G21" i="8" s="1"/>
  <c r="F25" i="8"/>
  <c r="G25" i="8" s="1"/>
  <c r="F26" i="8"/>
  <c r="G26" i="8" s="1"/>
  <c r="F28" i="8"/>
  <c r="G28" i="8" s="1"/>
  <c r="F29" i="8"/>
  <c r="G29" i="8" s="1"/>
  <c r="F31" i="8"/>
  <c r="G31" i="8" s="1"/>
  <c r="F7" i="8"/>
  <c r="F9" i="8"/>
  <c r="G9" i="8" s="1"/>
  <c r="F11" i="8"/>
  <c r="I8" i="8"/>
  <c r="I10" i="8"/>
  <c r="J10" i="8" s="1"/>
  <c r="I12" i="8"/>
  <c r="J12" i="8" s="1"/>
  <c r="I14" i="8"/>
  <c r="J14" i="8" s="1"/>
  <c r="I16" i="8"/>
  <c r="J16" i="8" s="1"/>
  <c r="I18" i="8"/>
  <c r="J18" i="8" s="1"/>
  <c r="I20" i="8"/>
  <c r="J20" i="8" s="1"/>
  <c r="I22" i="8"/>
  <c r="J22" i="8" s="1"/>
  <c r="I24" i="8"/>
  <c r="J24" i="8" s="1"/>
  <c r="I26" i="8"/>
  <c r="J26" i="8" s="1"/>
  <c r="I28" i="8"/>
  <c r="J28" i="8" s="1"/>
  <c r="I30" i="8"/>
  <c r="J30" i="8" s="1"/>
  <c r="F36" i="8"/>
  <c r="G36" i="8" s="1"/>
  <c r="I37" i="8"/>
  <c r="J37" i="8" s="1"/>
  <c r="C57" i="8"/>
  <c r="H57" i="8"/>
  <c r="M29" i="1" s="1"/>
  <c r="F8" i="8"/>
  <c r="G8" i="8" s="1"/>
  <c r="F10" i="8"/>
  <c r="G10" i="8" s="1"/>
  <c r="F12" i="8"/>
  <c r="G12" i="8" s="1"/>
  <c r="F14" i="8"/>
  <c r="G14" i="8" s="1"/>
  <c r="J15" i="8"/>
  <c r="J17" i="8"/>
  <c r="J19" i="8"/>
  <c r="J21" i="8"/>
  <c r="J23" i="8"/>
  <c r="J25" i="8"/>
  <c r="J27" i="8"/>
  <c r="J29" i="8"/>
  <c r="J31" i="8"/>
  <c r="G55" i="8"/>
  <c r="F53" i="8"/>
  <c r="G53" i="8" s="1"/>
  <c r="F51" i="8"/>
  <c r="G51" i="8" s="1"/>
  <c r="F49" i="8"/>
  <c r="G49" i="8" s="1"/>
  <c r="F47" i="8"/>
  <c r="G47" i="8" s="1"/>
  <c r="F45" i="8"/>
  <c r="G45" i="8" s="1"/>
  <c r="F43" i="8"/>
  <c r="G43" i="8" s="1"/>
  <c r="F41" i="8"/>
  <c r="G41" i="8" s="1"/>
  <c r="F39" i="8"/>
  <c r="G39" i="8" s="1"/>
  <c r="F37" i="8"/>
  <c r="G37" i="8" s="1"/>
  <c r="F35" i="8"/>
  <c r="G35" i="8" s="1"/>
  <c r="F33" i="8"/>
  <c r="G33" i="8" s="1"/>
  <c r="F54" i="8"/>
  <c r="G54" i="8" s="1"/>
  <c r="F52" i="8"/>
  <c r="G52" i="8" s="1"/>
  <c r="F50" i="8"/>
  <c r="G50" i="8" s="1"/>
  <c r="F48" i="8"/>
  <c r="G48" i="8" s="1"/>
  <c r="F46" i="8"/>
  <c r="G46" i="8" s="1"/>
  <c r="F44" i="8"/>
  <c r="G44" i="8" s="1"/>
  <c r="F42" i="8"/>
  <c r="G42" i="8" s="1"/>
  <c r="F40" i="8"/>
  <c r="G40" i="8" s="1"/>
  <c r="F24" i="8"/>
  <c r="G24" i="8" s="1"/>
  <c r="F30" i="8"/>
  <c r="G30" i="8" s="1"/>
  <c r="I33" i="8"/>
  <c r="J33" i="8" s="1"/>
  <c r="F18" i="8"/>
  <c r="G18" i="8" s="1"/>
  <c r="F19" i="8"/>
  <c r="G19" i="8" s="1"/>
  <c r="F22" i="8"/>
  <c r="G22" i="8" s="1"/>
  <c r="F23" i="8"/>
  <c r="G23" i="8" s="1"/>
  <c r="F27" i="8"/>
  <c r="G27" i="8" s="1"/>
  <c r="F32" i="8"/>
  <c r="G32" i="8" s="1"/>
  <c r="J7" i="8"/>
  <c r="F13" i="8"/>
  <c r="G13" i="8" s="1"/>
  <c r="F34" i="8"/>
  <c r="G34" i="8" s="1"/>
  <c r="I35" i="8"/>
  <c r="J35" i="8" s="1"/>
  <c r="I39" i="8"/>
  <c r="J39" i="8" s="1"/>
  <c r="I41" i="8"/>
  <c r="J41" i="8" s="1"/>
  <c r="I43" i="8"/>
  <c r="J43" i="8" s="1"/>
  <c r="I45" i="8"/>
  <c r="J45" i="8" s="1"/>
  <c r="I47" i="8"/>
  <c r="J47" i="8" s="1"/>
  <c r="I49" i="8"/>
  <c r="J49" i="8" s="1"/>
  <c r="I51" i="8"/>
  <c r="J51" i="8" s="1"/>
  <c r="I53" i="8"/>
  <c r="J53" i="8" s="1"/>
  <c r="I55" i="8"/>
  <c r="J55" i="8" s="1"/>
  <c r="K124" i="6"/>
  <c r="I124" i="6"/>
  <c r="P26" i="6" l="1"/>
  <c r="M57" i="9"/>
  <c r="P14" i="6"/>
  <c r="F57" i="8"/>
  <c r="G11" i="8"/>
  <c r="K11" i="8" s="1"/>
  <c r="L11" i="8" s="1"/>
  <c r="M38" i="8"/>
  <c r="I57" i="8"/>
  <c r="J8" i="8"/>
  <c r="J57" i="8" s="1"/>
  <c r="K46" i="8"/>
  <c r="L46" i="8" s="1"/>
  <c r="K39" i="8"/>
  <c r="L39" i="8" s="1"/>
  <c r="K47" i="8"/>
  <c r="L47" i="8" s="1"/>
  <c r="K28" i="8"/>
  <c r="L28" i="8" s="1"/>
  <c r="K20" i="8"/>
  <c r="L20" i="8" s="1"/>
  <c r="K19" i="8"/>
  <c r="L19" i="8" s="1"/>
  <c r="K40" i="8"/>
  <c r="L40" i="8" s="1"/>
  <c r="K48" i="8"/>
  <c r="L48" i="8" s="1"/>
  <c r="K33" i="8"/>
  <c r="L33" i="8" s="1"/>
  <c r="K49" i="8"/>
  <c r="L49" i="8" s="1"/>
  <c r="G7" i="8"/>
  <c r="K26" i="8"/>
  <c r="L26" i="8" s="1"/>
  <c r="K34" i="8"/>
  <c r="L34" i="8" s="1"/>
  <c r="K27" i="8"/>
  <c r="L27" i="8" s="1"/>
  <c r="K18" i="8"/>
  <c r="L18" i="8" s="1"/>
  <c r="K42" i="8"/>
  <c r="L42" i="8" s="1"/>
  <c r="K50" i="8"/>
  <c r="L50" i="8" s="1"/>
  <c r="K35" i="8"/>
  <c r="L35" i="8" s="1"/>
  <c r="K43" i="8"/>
  <c r="L43" i="8" s="1"/>
  <c r="M51" i="8"/>
  <c r="K51" i="8"/>
  <c r="L51" i="8" s="1"/>
  <c r="K14" i="8"/>
  <c r="L14" i="8" s="1"/>
  <c r="K36" i="8"/>
  <c r="L36" i="8" s="1"/>
  <c r="K31" i="8"/>
  <c r="L31" i="8" s="1"/>
  <c r="K25" i="8"/>
  <c r="L25" i="8" s="1"/>
  <c r="K16" i="8"/>
  <c r="L16" i="8" s="1"/>
  <c r="K13" i="8"/>
  <c r="L13" i="8" s="1"/>
  <c r="K23" i="8"/>
  <c r="L23" i="8" s="1"/>
  <c r="K30" i="8"/>
  <c r="L30" i="8" s="1"/>
  <c r="K44" i="8"/>
  <c r="L44" i="8" s="1"/>
  <c r="M44" i="8"/>
  <c r="K52" i="8"/>
  <c r="L52" i="8" s="1"/>
  <c r="K37" i="8"/>
  <c r="L37" i="8" s="1"/>
  <c r="K45" i="8"/>
  <c r="L45" i="8" s="1"/>
  <c r="K53" i="8"/>
  <c r="L53" i="8" s="1"/>
  <c r="K12" i="8"/>
  <c r="L12" i="8" s="1"/>
  <c r="K29" i="8"/>
  <c r="L29" i="8" s="1"/>
  <c r="K21" i="8"/>
  <c r="L21" i="8" s="1"/>
  <c r="K15" i="8"/>
  <c r="L15" i="8" s="1"/>
  <c r="K24" i="8"/>
  <c r="L24" i="8" s="1"/>
  <c r="K9" i="8"/>
  <c r="L9" i="8" s="1"/>
  <c r="M9" i="8"/>
  <c r="K22" i="8"/>
  <c r="L22" i="8" s="1"/>
  <c r="K54" i="8"/>
  <c r="L54" i="8" s="1"/>
  <c r="K55" i="8"/>
  <c r="L55" i="8" s="1"/>
  <c r="K10" i="8"/>
  <c r="L10" i="8" s="1"/>
  <c r="K32" i="8"/>
  <c r="L32" i="8" s="1"/>
  <c r="K41" i="8"/>
  <c r="L41" i="8" s="1"/>
  <c r="K17" i="8"/>
  <c r="L17" i="8" s="1"/>
  <c r="H55" i="7"/>
  <c r="H54" i="7"/>
  <c r="I54" i="7" s="1"/>
  <c r="J54" i="7" s="1"/>
  <c r="H53" i="7"/>
  <c r="H52" i="7"/>
  <c r="H51" i="7"/>
  <c r="H50" i="7"/>
  <c r="I50" i="7" s="1"/>
  <c r="J50" i="7" s="1"/>
  <c r="H49" i="7"/>
  <c r="H48" i="7"/>
  <c r="I48" i="7" s="1"/>
  <c r="H47" i="7"/>
  <c r="H46" i="7"/>
  <c r="I46" i="7" s="1"/>
  <c r="J46" i="7" s="1"/>
  <c r="H45" i="7"/>
  <c r="H44" i="7"/>
  <c r="H43" i="7"/>
  <c r="H42" i="7"/>
  <c r="H41" i="7"/>
  <c r="H40" i="7"/>
  <c r="I40" i="7" s="1"/>
  <c r="J40" i="7" s="1"/>
  <c r="H39" i="7"/>
  <c r="H38" i="7"/>
  <c r="I38" i="7" s="1"/>
  <c r="J38" i="7" s="1"/>
  <c r="H37" i="7"/>
  <c r="H36" i="7"/>
  <c r="H35" i="7"/>
  <c r="H34" i="7"/>
  <c r="I34" i="7" s="1"/>
  <c r="J34" i="7" s="1"/>
  <c r="H33" i="7"/>
  <c r="H32" i="7"/>
  <c r="I32" i="7" s="1"/>
  <c r="J32" i="7" s="1"/>
  <c r="H31" i="7"/>
  <c r="H30" i="7"/>
  <c r="I30" i="7" s="1"/>
  <c r="J30" i="7" s="1"/>
  <c r="H29" i="7"/>
  <c r="H28" i="7"/>
  <c r="H27" i="7"/>
  <c r="H26" i="7"/>
  <c r="I26" i="7" s="1"/>
  <c r="J26" i="7" s="1"/>
  <c r="H25" i="7"/>
  <c r="H24" i="7"/>
  <c r="I24" i="7" s="1"/>
  <c r="J24" i="7" s="1"/>
  <c r="H23" i="7"/>
  <c r="H22" i="7"/>
  <c r="I22" i="7" s="1"/>
  <c r="J22" i="7" s="1"/>
  <c r="H21" i="7"/>
  <c r="H20" i="7"/>
  <c r="H19" i="7"/>
  <c r="H18" i="7"/>
  <c r="I18" i="7" s="1"/>
  <c r="J18" i="7" s="1"/>
  <c r="H17" i="7"/>
  <c r="H16" i="7"/>
  <c r="I16" i="7" s="1"/>
  <c r="J16" i="7" s="1"/>
  <c r="H15" i="7"/>
  <c r="I15" i="7" s="1"/>
  <c r="H14" i="7"/>
  <c r="I14" i="7" s="1"/>
  <c r="H13" i="7"/>
  <c r="I13" i="7" s="1"/>
  <c r="J13" i="7" s="1"/>
  <c r="H12" i="7"/>
  <c r="H11" i="7"/>
  <c r="I11" i="7" s="1"/>
  <c r="J11" i="7" s="1"/>
  <c r="H10" i="7"/>
  <c r="I10" i="7" s="1"/>
  <c r="H9" i="7"/>
  <c r="I9" i="7" s="1"/>
  <c r="J9" i="7" s="1"/>
  <c r="H8" i="7"/>
  <c r="I8" i="7" s="1"/>
  <c r="H7" i="7"/>
  <c r="W57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Y57" i="7"/>
  <c r="U57" i="7"/>
  <c r="T57" i="7"/>
  <c r="S57" i="7"/>
  <c r="Q57" i="7"/>
  <c r="P57" i="7"/>
  <c r="O57" i="7"/>
  <c r="D57" i="7"/>
  <c r="I52" i="7"/>
  <c r="J52" i="7" s="1"/>
  <c r="I44" i="7"/>
  <c r="J44" i="7" s="1"/>
  <c r="I42" i="7"/>
  <c r="J42" i="7" s="1"/>
  <c r="I36" i="7"/>
  <c r="J36" i="7" s="1"/>
  <c r="I28" i="7"/>
  <c r="J28" i="7" s="1"/>
  <c r="I20" i="7"/>
  <c r="J20" i="7" s="1"/>
  <c r="H57" i="7" l="1"/>
  <c r="K8" i="8"/>
  <c r="L8" i="8" s="1"/>
  <c r="I16" i="1"/>
  <c r="I14" i="1"/>
  <c r="M14" i="8"/>
  <c r="M12" i="8"/>
  <c r="M25" i="8"/>
  <c r="M26" i="8"/>
  <c r="M8" i="8"/>
  <c r="M48" i="8"/>
  <c r="M47" i="8"/>
  <c r="M22" i="8"/>
  <c r="M24" i="8"/>
  <c r="M52" i="8"/>
  <c r="M30" i="8"/>
  <c r="M16" i="8"/>
  <c r="M28" i="8"/>
  <c r="M55" i="8"/>
  <c r="M11" i="8"/>
  <c r="M42" i="8"/>
  <c r="M34" i="8"/>
  <c r="M17" i="8"/>
  <c r="M54" i="8"/>
  <c r="M53" i="8"/>
  <c r="M31" i="8"/>
  <c r="M19" i="8"/>
  <c r="M39" i="8"/>
  <c r="M32" i="8"/>
  <c r="M29" i="8"/>
  <c r="M13" i="8"/>
  <c r="M36" i="8"/>
  <c r="M50" i="8"/>
  <c r="M18" i="8"/>
  <c r="M49" i="8"/>
  <c r="M40" i="8"/>
  <c r="M20" i="8"/>
  <c r="M46" i="8"/>
  <c r="M41" i="8"/>
  <c r="M10" i="8"/>
  <c r="M15" i="8"/>
  <c r="M35" i="8"/>
  <c r="M27" i="8"/>
  <c r="M33" i="8"/>
  <c r="G57" i="8"/>
  <c r="K7" i="8"/>
  <c r="L7" i="8" s="1"/>
  <c r="L57" i="8" s="1"/>
  <c r="M21" i="8"/>
  <c r="M37" i="8"/>
  <c r="M23" i="8"/>
  <c r="M43" i="8"/>
  <c r="M45" i="8"/>
  <c r="J10" i="7"/>
  <c r="I12" i="7"/>
  <c r="J12" i="7" s="1"/>
  <c r="J14" i="7"/>
  <c r="J8" i="7"/>
  <c r="J48" i="7"/>
  <c r="C57" i="7"/>
  <c r="J15" i="7"/>
  <c r="E57" i="7"/>
  <c r="F7" i="7" s="1"/>
  <c r="G7" i="7" s="1"/>
  <c r="I7" i="7"/>
  <c r="I17" i="7"/>
  <c r="J17" i="7" s="1"/>
  <c r="I19" i="7"/>
  <c r="J19" i="7" s="1"/>
  <c r="I21" i="7"/>
  <c r="J21" i="7" s="1"/>
  <c r="I23" i="7"/>
  <c r="J23" i="7" s="1"/>
  <c r="I25" i="7"/>
  <c r="J25" i="7" s="1"/>
  <c r="I27" i="7"/>
  <c r="J27" i="7" s="1"/>
  <c r="I29" i="7"/>
  <c r="J29" i="7" s="1"/>
  <c r="I31" i="7"/>
  <c r="J31" i="7" s="1"/>
  <c r="I33" i="7"/>
  <c r="J33" i="7" s="1"/>
  <c r="I35" i="7"/>
  <c r="J35" i="7" s="1"/>
  <c r="I37" i="7"/>
  <c r="J37" i="7" s="1"/>
  <c r="I39" i="7"/>
  <c r="J39" i="7" s="1"/>
  <c r="I41" i="7"/>
  <c r="J41" i="7" s="1"/>
  <c r="I43" i="7"/>
  <c r="J43" i="7" s="1"/>
  <c r="I45" i="7"/>
  <c r="J45" i="7" s="1"/>
  <c r="I47" i="7"/>
  <c r="J47" i="7" s="1"/>
  <c r="I49" i="7"/>
  <c r="J49" i="7" s="1"/>
  <c r="I51" i="7"/>
  <c r="J51" i="7" s="1"/>
  <c r="I53" i="7"/>
  <c r="J53" i="7" s="1"/>
  <c r="I55" i="7"/>
  <c r="J55" i="7" s="1"/>
  <c r="M16" i="1" l="1"/>
  <c r="M14" i="1"/>
  <c r="O14" i="1"/>
  <c r="O16" i="1"/>
  <c r="M7" i="8"/>
  <c r="M57" i="8" s="1"/>
  <c r="I57" i="7"/>
  <c r="J7" i="7"/>
  <c r="F55" i="7"/>
  <c r="G55" i="7" s="1"/>
  <c r="K55" i="7" s="1"/>
  <c r="F53" i="7"/>
  <c r="G53" i="7" s="1"/>
  <c r="K53" i="7" s="1"/>
  <c r="F51" i="7"/>
  <c r="G51" i="7" s="1"/>
  <c r="K51" i="7" s="1"/>
  <c r="F49" i="7"/>
  <c r="G49" i="7" s="1"/>
  <c r="K49" i="7" s="1"/>
  <c r="F47" i="7"/>
  <c r="G47" i="7" s="1"/>
  <c r="K47" i="7" s="1"/>
  <c r="F45" i="7"/>
  <c r="G45" i="7" s="1"/>
  <c r="K45" i="7" s="1"/>
  <c r="F43" i="7"/>
  <c r="G43" i="7" s="1"/>
  <c r="K43" i="7" s="1"/>
  <c r="F41" i="7"/>
  <c r="G41" i="7" s="1"/>
  <c r="K41" i="7" s="1"/>
  <c r="F39" i="7"/>
  <c r="G39" i="7" s="1"/>
  <c r="K39" i="7" s="1"/>
  <c r="F37" i="7"/>
  <c r="G37" i="7" s="1"/>
  <c r="K37" i="7" s="1"/>
  <c r="F35" i="7"/>
  <c r="G35" i="7" s="1"/>
  <c r="K35" i="7" s="1"/>
  <c r="F33" i="7"/>
  <c r="G33" i="7" s="1"/>
  <c r="K33" i="7" s="1"/>
  <c r="F31" i="7"/>
  <c r="G31" i="7" s="1"/>
  <c r="K31" i="7" s="1"/>
  <c r="F29" i="7"/>
  <c r="G29" i="7" s="1"/>
  <c r="K29" i="7" s="1"/>
  <c r="F27" i="7"/>
  <c r="G27" i="7" s="1"/>
  <c r="K27" i="7" s="1"/>
  <c r="F25" i="7"/>
  <c r="G25" i="7" s="1"/>
  <c r="K25" i="7" s="1"/>
  <c r="F23" i="7"/>
  <c r="G23" i="7" s="1"/>
  <c r="K23" i="7" s="1"/>
  <c r="F21" i="7"/>
  <c r="G21" i="7" s="1"/>
  <c r="K21" i="7" s="1"/>
  <c r="F19" i="7"/>
  <c r="G19" i="7" s="1"/>
  <c r="K19" i="7" s="1"/>
  <c r="F17" i="7"/>
  <c r="G17" i="7" s="1"/>
  <c r="K17" i="7" s="1"/>
  <c r="F54" i="7"/>
  <c r="G54" i="7" s="1"/>
  <c r="K54" i="7" s="1"/>
  <c r="F52" i="7"/>
  <c r="G52" i="7" s="1"/>
  <c r="K52" i="7" s="1"/>
  <c r="F50" i="7"/>
  <c r="G50" i="7" s="1"/>
  <c r="K50" i="7" s="1"/>
  <c r="F48" i="7"/>
  <c r="G48" i="7" s="1"/>
  <c r="K48" i="7" s="1"/>
  <c r="F46" i="7"/>
  <c r="G46" i="7" s="1"/>
  <c r="K46" i="7" s="1"/>
  <c r="F44" i="7"/>
  <c r="G44" i="7" s="1"/>
  <c r="K44" i="7" s="1"/>
  <c r="F42" i="7"/>
  <c r="G42" i="7" s="1"/>
  <c r="K42" i="7" s="1"/>
  <c r="F40" i="7"/>
  <c r="G40" i="7" s="1"/>
  <c r="K40" i="7" s="1"/>
  <c r="F38" i="7"/>
  <c r="G38" i="7" s="1"/>
  <c r="K38" i="7" s="1"/>
  <c r="F36" i="7"/>
  <c r="G36" i="7" s="1"/>
  <c r="K36" i="7" s="1"/>
  <c r="F34" i="7"/>
  <c r="G34" i="7" s="1"/>
  <c r="K34" i="7" s="1"/>
  <c r="F32" i="7"/>
  <c r="G32" i="7" s="1"/>
  <c r="K32" i="7" s="1"/>
  <c r="F30" i="7"/>
  <c r="G30" i="7" s="1"/>
  <c r="K30" i="7" s="1"/>
  <c r="F28" i="7"/>
  <c r="G28" i="7" s="1"/>
  <c r="K28" i="7" s="1"/>
  <c r="F26" i="7"/>
  <c r="G26" i="7" s="1"/>
  <c r="K26" i="7" s="1"/>
  <c r="F24" i="7"/>
  <c r="G24" i="7" s="1"/>
  <c r="K24" i="7" s="1"/>
  <c r="F22" i="7"/>
  <c r="G22" i="7" s="1"/>
  <c r="K22" i="7" s="1"/>
  <c r="F20" i="7"/>
  <c r="G20" i="7" s="1"/>
  <c r="K20" i="7" s="1"/>
  <c r="F18" i="7"/>
  <c r="G18" i="7" s="1"/>
  <c r="K18" i="7" s="1"/>
  <c r="F13" i="7"/>
  <c r="G13" i="7" s="1"/>
  <c r="K13" i="7" s="1"/>
  <c r="F11" i="7"/>
  <c r="G11" i="7" s="1"/>
  <c r="K11" i="7" s="1"/>
  <c r="F9" i="7"/>
  <c r="G9" i="7" s="1"/>
  <c r="K9" i="7" s="1"/>
  <c r="F16" i="7"/>
  <c r="G16" i="7" s="1"/>
  <c r="K16" i="7" s="1"/>
  <c r="F15" i="7"/>
  <c r="G15" i="7" s="1"/>
  <c r="K15" i="7" s="1"/>
  <c r="F8" i="7"/>
  <c r="G8" i="7" s="1"/>
  <c r="F14" i="7"/>
  <c r="G14" i="7" s="1"/>
  <c r="K14" i="7" s="1"/>
  <c r="F12" i="7"/>
  <c r="G12" i="7" s="1"/>
  <c r="K12" i="7" s="1"/>
  <c r="F10" i="7"/>
  <c r="G10" i="7" s="1"/>
  <c r="K10" i="7" s="1"/>
  <c r="G57" i="7" l="1"/>
  <c r="K8" i="7"/>
  <c r="J57" i="7"/>
  <c r="K7" i="7"/>
  <c r="L7" i="7" s="1"/>
  <c r="M8" i="7"/>
  <c r="L8" i="7"/>
  <c r="L20" i="7"/>
  <c r="M20" i="7"/>
  <c r="L28" i="7"/>
  <c r="M28" i="7"/>
  <c r="L36" i="7"/>
  <c r="M36" i="7"/>
  <c r="L44" i="7"/>
  <c r="L52" i="7"/>
  <c r="L21" i="7"/>
  <c r="L45" i="7"/>
  <c r="L15" i="7"/>
  <c r="L22" i="7"/>
  <c r="L38" i="7"/>
  <c r="M38" i="7"/>
  <c r="M39" i="7"/>
  <c r="L39" i="7"/>
  <c r="M47" i="7"/>
  <c r="L47" i="7"/>
  <c r="M55" i="7"/>
  <c r="L55" i="7"/>
  <c r="L12" i="7"/>
  <c r="L16" i="7"/>
  <c r="M16" i="7"/>
  <c r="M13" i="7"/>
  <c r="L13" i="7"/>
  <c r="L24" i="7"/>
  <c r="L32" i="7"/>
  <c r="L40" i="7"/>
  <c r="L48" i="7"/>
  <c r="M17" i="7"/>
  <c r="L17" i="7"/>
  <c r="M25" i="7"/>
  <c r="L25" i="7"/>
  <c r="L33" i="7"/>
  <c r="L41" i="7"/>
  <c r="L49" i="7"/>
  <c r="L9" i="7"/>
  <c r="M29" i="7"/>
  <c r="L29" i="7"/>
  <c r="L37" i="7"/>
  <c r="L53" i="7"/>
  <c r="L10" i="7"/>
  <c r="L11" i="7"/>
  <c r="L30" i="7"/>
  <c r="L46" i="7"/>
  <c r="L54" i="7"/>
  <c r="L23" i="7"/>
  <c r="M31" i="7"/>
  <c r="L31" i="7"/>
  <c r="L14" i="7"/>
  <c r="F57" i="7"/>
  <c r="L18" i="7"/>
  <c r="L26" i="7"/>
  <c r="L34" i="7"/>
  <c r="L42" i="7"/>
  <c r="L50" i="7"/>
  <c r="M19" i="7"/>
  <c r="L19" i="7"/>
  <c r="L27" i="7"/>
  <c r="L35" i="7"/>
  <c r="L43" i="7"/>
  <c r="M51" i="7"/>
  <c r="L51" i="7"/>
  <c r="M7" i="7" l="1"/>
  <c r="M23" i="7"/>
  <c r="M35" i="7"/>
  <c r="M43" i="7"/>
  <c r="M24" i="7"/>
  <c r="M10" i="7"/>
  <c r="M41" i="7"/>
  <c r="M45" i="7"/>
  <c r="M15" i="7"/>
  <c r="M21" i="7"/>
  <c r="M37" i="7"/>
  <c r="M34" i="7"/>
  <c r="M12" i="7"/>
  <c r="M50" i="7"/>
  <c r="M42" i="7"/>
  <c r="M46" i="7"/>
  <c r="M22" i="7"/>
  <c r="M52" i="7"/>
  <c r="M18" i="7"/>
  <c r="M14" i="7"/>
  <c r="M40" i="7"/>
  <c r="M27" i="7"/>
  <c r="M53" i="7"/>
  <c r="M33" i="7"/>
  <c r="M26" i="7"/>
  <c r="L57" i="7"/>
  <c r="M54" i="7"/>
  <c r="M30" i="7"/>
  <c r="M9" i="7"/>
  <c r="M48" i="7"/>
  <c r="M32" i="7"/>
  <c r="M44" i="7"/>
  <c r="M11" i="7"/>
  <c r="M49" i="7"/>
  <c r="M57" i="7" l="1"/>
  <c r="K25" i="6"/>
  <c r="I12" i="6"/>
  <c r="N13" i="6" l="1"/>
  <c r="K13" i="6"/>
  <c r="G46" i="6"/>
  <c r="K12" i="6" l="1"/>
  <c r="K24" i="6"/>
  <c r="J12" i="6" l="1"/>
  <c r="L12" i="6"/>
  <c r="M12" i="6"/>
  <c r="I20" i="6"/>
  <c r="L24" i="6"/>
  <c r="I24" i="6"/>
  <c r="M24" i="6"/>
  <c r="J24" i="6"/>
  <c r="N24" i="6" l="1"/>
  <c r="N12" i="6"/>
  <c r="I33" i="6"/>
  <c r="E55" i="4" l="1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I123" i="1" l="1"/>
  <c r="Y57" i="5"/>
  <c r="W57" i="5"/>
  <c r="U57" i="5"/>
  <c r="T57" i="5"/>
  <c r="S57" i="5"/>
  <c r="Q57" i="5"/>
  <c r="P57" i="5"/>
  <c r="O57" i="5"/>
  <c r="F57" i="5"/>
  <c r="E53" i="5" s="1"/>
  <c r="G53" i="5" s="1"/>
  <c r="D57" i="5"/>
  <c r="C57" i="5"/>
  <c r="H55" i="5"/>
  <c r="J55" i="5" s="1"/>
  <c r="H54" i="5"/>
  <c r="J54" i="5" s="1"/>
  <c r="H53" i="5"/>
  <c r="J53" i="5" s="1"/>
  <c r="H52" i="5"/>
  <c r="J52" i="5" s="1"/>
  <c r="H51" i="5"/>
  <c r="J51" i="5" s="1"/>
  <c r="H50" i="5"/>
  <c r="J50" i="5" s="1"/>
  <c r="H49" i="5"/>
  <c r="J49" i="5" s="1"/>
  <c r="E49" i="5"/>
  <c r="G49" i="5" s="1"/>
  <c r="H48" i="5"/>
  <c r="J48" i="5" s="1"/>
  <c r="H47" i="5"/>
  <c r="J47" i="5" s="1"/>
  <c r="H46" i="5"/>
  <c r="J46" i="5" s="1"/>
  <c r="H45" i="5"/>
  <c r="J45" i="5" s="1"/>
  <c r="H44" i="5"/>
  <c r="J44" i="5" s="1"/>
  <c r="H43" i="5"/>
  <c r="J43" i="5" s="1"/>
  <c r="H42" i="5"/>
  <c r="J42" i="5" s="1"/>
  <c r="H41" i="5"/>
  <c r="J41" i="5" s="1"/>
  <c r="E41" i="5"/>
  <c r="G41" i="5" s="1"/>
  <c r="M41" i="5" s="1"/>
  <c r="H40" i="5"/>
  <c r="J40" i="5" s="1"/>
  <c r="H39" i="5"/>
  <c r="J39" i="5" s="1"/>
  <c r="H38" i="5"/>
  <c r="J38" i="5" s="1"/>
  <c r="H37" i="5"/>
  <c r="J37" i="5" s="1"/>
  <c r="H36" i="5"/>
  <c r="J36" i="5" s="1"/>
  <c r="H35" i="5"/>
  <c r="J35" i="5" s="1"/>
  <c r="H34" i="5"/>
  <c r="J34" i="5" s="1"/>
  <c r="H33" i="5"/>
  <c r="J33" i="5" s="1"/>
  <c r="E33" i="5"/>
  <c r="G33" i="5" s="1"/>
  <c r="M33" i="5" s="1"/>
  <c r="H32" i="5"/>
  <c r="J32" i="5" s="1"/>
  <c r="H31" i="5"/>
  <c r="J31" i="5" s="1"/>
  <c r="H30" i="5"/>
  <c r="J30" i="5" s="1"/>
  <c r="H29" i="5"/>
  <c r="J29" i="5" s="1"/>
  <c r="H28" i="5"/>
  <c r="J28" i="5" s="1"/>
  <c r="H27" i="5"/>
  <c r="J27" i="5" s="1"/>
  <c r="H26" i="5"/>
  <c r="J26" i="5" s="1"/>
  <c r="H25" i="5"/>
  <c r="J25" i="5" s="1"/>
  <c r="E25" i="5"/>
  <c r="G25" i="5" s="1"/>
  <c r="H24" i="5"/>
  <c r="J24" i="5" s="1"/>
  <c r="H23" i="5"/>
  <c r="J23" i="5" s="1"/>
  <c r="H22" i="5"/>
  <c r="J22" i="5" s="1"/>
  <c r="H21" i="5"/>
  <c r="J21" i="5" s="1"/>
  <c r="H20" i="5"/>
  <c r="J20" i="5" s="1"/>
  <c r="H19" i="5"/>
  <c r="J19" i="5" s="1"/>
  <c r="H18" i="5"/>
  <c r="J18" i="5" s="1"/>
  <c r="H17" i="5"/>
  <c r="J17" i="5" s="1"/>
  <c r="E17" i="5"/>
  <c r="G17" i="5" s="1"/>
  <c r="K17" i="5" s="1"/>
  <c r="L17" i="5" s="1"/>
  <c r="H16" i="5"/>
  <c r="J16" i="5" s="1"/>
  <c r="H15" i="5"/>
  <c r="J15" i="5" s="1"/>
  <c r="H14" i="5"/>
  <c r="J14" i="5" s="1"/>
  <c r="H13" i="5"/>
  <c r="J13" i="5" s="1"/>
  <c r="H12" i="5"/>
  <c r="J12" i="5" s="1"/>
  <c r="H11" i="5"/>
  <c r="J11" i="5" s="1"/>
  <c r="H10" i="5"/>
  <c r="J10" i="5" s="1"/>
  <c r="H9" i="5"/>
  <c r="J9" i="5" s="1"/>
  <c r="E9" i="5"/>
  <c r="G9" i="5" s="1"/>
  <c r="H8" i="5"/>
  <c r="J8" i="5" s="1"/>
  <c r="H7" i="5"/>
  <c r="K49" i="5" l="1"/>
  <c r="L49" i="5" s="1"/>
  <c r="K9" i="5"/>
  <c r="L9" i="5" s="1"/>
  <c r="M53" i="5"/>
  <c r="K53" i="5"/>
  <c r="L53" i="5" s="1"/>
  <c r="H57" i="5"/>
  <c r="J7" i="5"/>
  <c r="J57" i="5" s="1"/>
  <c r="E13" i="5"/>
  <c r="G13" i="5" s="1"/>
  <c r="E21" i="5"/>
  <c r="G21" i="5" s="1"/>
  <c r="K25" i="5"/>
  <c r="L25" i="5" s="1"/>
  <c r="E29" i="5"/>
  <c r="G29" i="5" s="1"/>
  <c r="K33" i="5"/>
  <c r="L33" i="5" s="1"/>
  <c r="E37" i="5"/>
  <c r="G37" i="5" s="1"/>
  <c r="K41" i="5"/>
  <c r="L41" i="5" s="1"/>
  <c r="E45" i="5"/>
  <c r="G45" i="5" s="1"/>
  <c r="M17" i="5"/>
  <c r="M49" i="5"/>
  <c r="E55" i="5"/>
  <c r="G55" i="5" s="1"/>
  <c r="E51" i="5"/>
  <c r="G51" i="5" s="1"/>
  <c r="E47" i="5"/>
  <c r="G47" i="5" s="1"/>
  <c r="E43" i="5"/>
  <c r="G43" i="5" s="1"/>
  <c r="E39" i="5"/>
  <c r="G39" i="5" s="1"/>
  <c r="E35" i="5"/>
  <c r="G35" i="5" s="1"/>
  <c r="E31" i="5"/>
  <c r="G31" i="5" s="1"/>
  <c r="E27" i="5"/>
  <c r="G27" i="5" s="1"/>
  <c r="E23" i="5"/>
  <c r="G23" i="5" s="1"/>
  <c r="E19" i="5"/>
  <c r="G19" i="5" s="1"/>
  <c r="E15" i="5"/>
  <c r="G15" i="5" s="1"/>
  <c r="E11" i="5"/>
  <c r="G11" i="5" s="1"/>
  <c r="E52" i="5"/>
  <c r="G52" i="5" s="1"/>
  <c r="E48" i="5"/>
  <c r="G48" i="5" s="1"/>
  <c r="E44" i="5"/>
  <c r="G44" i="5" s="1"/>
  <c r="E40" i="5"/>
  <c r="G40" i="5" s="1"/>
  <c r="E36" i="5"/>
  <c r="G36" i="5" s="1"/>
  <c r="E32" i="5"/>
  <c r="G32" i="5" s="1"/>
  <c r="E28" i="5"/>
  <c r="G28" i="5" s="1"/>
  <c r="E24" i="5"/>
  <c r="G24" i="5" s="1"/>
  <c r="E20" i="5"/>
  <c r="G20" i="5" s="1"/>
  <c r="E16" i="5"/>
  <c r="G16" i="5" s="1"/>
  <c r="E12" i="5"/>
  <c r="G12" i="5" s="1"/>
  <c r="E8" i="5"/>
  <c r="G8" i="5" s="1"/>
  <c r="E54" i="5"/>
  <c r="G54" i="5" s="1"/>
  <c r="E50" i="5"/>
  <c r="G50" i="5" s="1"/>
  <c r="E46" i="5"/>
  <c r="G46" i="5" s="1"/>
  <c r="E42" i="5"/>
  <c r="G42" i="5" s="1"/>
  <c r="E38" i="5"/>
  <c r="G38" i="5" s="1"/>
  <c r="E34" i="5"/>
  <c r="G34" i="5" s="1"/>
  <c r="E30" i="5"/>
  <c r="G30" i="5" s="1"/>
  <c r="E26" i="5"/>
  <c r="G26" i="5" s="1"/>
  <c r="E22" i="5"/>
  <c r="G22" i="5" s="1"/>
  <c r="E18" i="5"/>
  <c r="G18" i="5" s="1"/>
  <c r="E14" i="5"/>
  <c r="G14" i="5" s="1"/>
  <c r="E10" i="5"/>
  <c r="G10" i="5" s="1"/>
  <c r="E7" i="5"/>
  <c r="M9" i="5"/>
  <c r="I67" i="1"/>
  <c r="I65" i="1"/>
  <c r="M25" i="5" l="1"/>
  <c r="K26" i="5"/>
  <c r="L26" i="5" s="1"/>
  <c r="K24" i="5"/>
  <c r="L24" i="5" s="1"/>
  <c r="K27" i="5"/>
  <c r="L27" i="5" s="1"/>
  <c r="M27" i="5"/>
  <c r="K21" i="5"/>
  <c r="L21" i="5" s="1"/>
  <c r="M14" i="5"/>
  <c r="K14" i="5"/>
  <c r="L14" i="5" s="1"/>
  <c r="K12" i="5"/>
  <c r="L12" i="5" s="1"/>
  <c r="M12" i="5"/>
  <c r="M18" i="5"/>
  <c r="K18" i="5"/>
  <c r="L18" i="5" s="1"/>
  <c r="K50" i="5"/>
  <c r="L50" i="5" s="1"/>
  <c r="K32" i="5"/>
  <c r="L32" i="5" s="1"/>
  <c r="M32" i="5"/>
  <c r="K48" i="5"/>
  <c r="L48" i="5" s="1"/>
  <c r="K51" i="5"/>
  <c r="L51" i="5" s="1"/>
  <c r="M51" i="5"/>
  <c r="E57" i="5"/>
  <c r="G7" i="5"/>
  <c r="M22" i="5"/>
  <c r="K22" i="5"/>
  <c r="L22" i="5" s="1"/>
  <c r="K38" i="5"/>
  <c r="L38" i="5" s="1"/>
  <c r="K54" i="5"/>
  <c r="L54" i="5" s="1"/>
  <c r="K20" i="5"/>
  <c r="L20" i="5" s="1"/>
  <c r="M20" i="5"/>
  <c r="K36" i="5"/>
  <c r="L36" i="5" s="1"/>
  <c r="M36" i="5"/>
  <c r="K52" i="5"/>
  <c r="L52" i="5" s="1"/>
  <c r="K23" i="5"/>
  <c r="L23" i="5" s="1"/>
  <c r="M23" i="5"/>
  <c r="K39" i="5"/>
  <c r="L39" i="5" s="1"/>
  <c r="M39" i="5"/>
  <c r="K55" i="5"/>
  <c r="L55" i="5" s="1"/>
  <c r="M55" i="5"/>
  <c r="M42" i="5"/>
  <c r="K42" i="5"/>
  <c r="L42" i="5" s="1"/>
  <c r="K40" i="5"/>
  <c r="L40" i="5" s="1"/>
  <c r="K43" i="5"/>
  <c r="L43" i="5" s="1"/>
  <c r="M37" i="5"/>
  <c r="K37" i="5"/>
  <c r="L37" i="5" s="1"/>
  <c r="K30" i="5"/>
  <c r="L30" i="5" s="1"/>
  <c r="K28" i="5"/>
  <c r="L28" i="5" s="1"/>
  <c r="M28" i="5"/>
  <c r="K44" i="5"/>
  <c r="L44" i="5" s="1"/>
  <c r="M44" i="5"/>
  <c r="K15" i="5"/>
  <c r="L15" i="5" s="1"/>
  <c r="M15" i="5"/>
  <c r="K31" i="5"/>
  <c r="L31" i="5" s="1"/>
  <c r="M31" i="5"/>
  <c r="K47" i="5"/>
  <c r="L47" i="5" s="1"/>
  <c r="M47" i="5"/>
  <c r="K13" i="5"/>
  <c r="L13" i="5" s="1"/>
  <c r="M10" i="5"/>
  <c r="K10" i="5"/>
  <c r="L10" i="5" s="1"/>
  <c r="M8" i="5"/>
  <c r="K8" i="5"/>
  <c r="L8" i="5" s="1"/>
  <c r="K11" i="5"/>
  <c r="L11" i="5" s="1"/>
  <c r="M11" i="5"/>
  <c r="K46" i="5"/>
  <c r="L46" i="5" s="1"/>
  <c r="M34" i="5"/>
  <c r="K34" i="5"/>
  <c r="L34" i="5" s="1"/>
  <c r="K16" i="5"/>
  <c r="L16" i="5" s="1"/>
  <c r="K19" i="5"/>
  <c r="L19" i="5" s="1"/>
  <c r="K35" i="5"/>
  <c r="L35" i="5" s="1"/>
  <c r="M35" i="5"/>
  <c r="K45" i="5"/>
  <c r="L45" i="5" s="1"/>
  <c r="M29" i="5"/>
  <c r="K29" i="5"/>
  <c r="L29" i="5" s="1"/>
  <c r="M61" i="1"/>
  <c r="M38" i="5" l="1"/>
  <c r="M19" i="5"/>
  <c r="M46" i="5"/>
  <c r="M13" i="5"/>
  <c r="M30" i="5"/>
  <c r="M40" i="5"/>
  <c r="M50" i="5"/>
  <c r="M21" i="5"/>
  <c r="M45" i="5"/>
  <c r="M16" i="5"/>
  <c r="M43" i="5"/>
  <c r="M52" i="5"/>
  <c r="G57" i="5"/>
  <c r="K7" i="5"/>
  <c r="M7" i="5" s="1"/>
  <c r="M48" i="5"/>
  <c r="M24" i="5"/>
  <c r="M54" i="5"/>
  <c r="M26" i="5"/>
  <c r="H55" i="4"/>
  <c r="I55" i="4" s="1"/>
  <c r="H54" i="4"/>
  <c r="I54" i="4" s="1"/>
  <c r="H53" i="4"/>
  <c r="I53" i="4" s="1"/>
  <c r="H52" i="4"/>
  <c r="I52" i="4" s="1"/>
  <c r="H51" i="4"/>
  <c r="I51" i="4" s="1"/>
  <c r="H50" i="4"/>
  <c r="I50" i="4" s="1"/>
  <c r="H49" i="4"/>
  <c r="I49" i="4" s="1"/>
  <c r="H48" i="4"/>
  <c r="I48" i="4" s="1"/>
  <c r="H47" i="4"/>
  <c r="I47" i="4" s="1"/>
  <c r="H46" i="4"/>
  <c r="I46" i="4" s="1"/>
  <c r="H45" i="4"/>
  <c r="I45" i="4" s="1"/>
  <c r="H44" i="4"/>
  <c r="I44" i="4" s="1"/>
  <c r="H43" i="4"/>
  <c r="I43" i="4" s="1"/>
  <c r="H42" i="4"/>
  <c r="I42" i="4" s="1"/>
  <c r="H41" i="4"/>
  <c r="I41" i="4" s="1"/>
  <c r="H40" i="4"/>
  <c r="I40" i="4" s="1"/>
  <c r="H39" i="4"/>
  <c r="I39" i="4" s="1"/>
  <c r="H38" i="4"/>
  <c r="I38" i="4" s="1"/>
  <c r="H37" i="4"/>
  <c r="I37" i="4" s="1"/>
  <c r="H36" i="4"/>
  <c r="I36" i="4" s="1"/>
  <c r="H35" i="4"/>
  <c r="I35" i="4" s="1"/>
  <c r="H34" i="4"/>
  <c r="I34" i="4" s="1"/>
  <c r="H33" i="4"/>
  <c r="I33" i="4" s="1"/>
  <c r="H32" i="4"/>
  <c r="I32" i="4" s="1"/>
  <c r="H31" i="4"/>
  <c r="I31" i="4" s="1"/>
  <c r="H30" i="4"/>
  <c r="I30" i="4" s="1"/>
  <c r="H29" i="4"/>
  <c r="I29" i="4" s="1"/>
  <c r="H28" i="4"/>
  <c r="I28" i="4" s="1"/>
  <c r="H27" i="4"/>
  <c r="I27" i="4" s="1"/>
  <c r="H26" i="4"/>
  <c r="I26" i="4" s="1"/>
  <c r="H25" i="4"/>
  <c r="I25" i="4" s="1"/>
  <c r="H24" i="4"/>
  <c r="I24" i="4" s="1"/>
  <c r="H23" i="4"/>
  <c r="I23" i="4" s="1"/>
  <c r="H22" i="4"/>
  <c r="I22" i="4" s="1"/>
  <c r="H21" i="4"/>
  <c r="I21" i="4" s="1"/>
  <c r="H20" i="4"/>
  <c r="I20" i="4" s="1"/>
  <c r="H19" i="4"/>
  <c r="I19" i="4" s="1"/>
  <c r="H18" i="4"/>
  <c r="I18" i="4" s="1"/>
  <c r="H17" i="4"/>
  <c r="I17" i="4" s="1"/>
  <c r="H16" i="4"/>
  <c r="I16" i="4" s="1"/>
  <c r="H15" i="4"/>
  <c r="I15" i="4" s="1"/>
  <c r="H14" i="4"/>
  <c r="I14" i="4" s="1"/>
  <c r="H13" i="4"/>
  <c r="I13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I57" i="4" l="1"/>
  <c r="M57" i="5"/>
  <c r="L7" i="5"/>
  <c r="L57" i="5" s="1"/>
  <c r="K57" i="5"/>
  <c r="E57" i="4"/>
  <c r="F7" i="4" l="1"/>
  <c r="F53" i="4"/>
  <c r="F49" i="4"/>
  <c r="F45" i="4"/>
  <c r="F41" i="4"/>
  <c r="F37" i="4"/>
  <c r="F33" i="4"/>
  <c r="F29" i="4"/>
  <c r="F25" i="4"/>
  <c r="F21" i="4"/>
  <c r="F17" i="4"/>
  <c r="F13" i="4"/>
  <c r="F9" i="4"/>
  <c r="F52" i="4"/>
  <c r="F48" i="4"/>
  <c r="F44" i="4"/>
  <c r="F40" i="4"/>
  <c r="F36" i="4"/>
  <c r="F32" i="4"/>
  <c r="F28" i="4"/>
  <c r="F24" i="4"/>
  <c r="F20" i="4"/>
  <c r="F16" i="4"/>
  <c r="F12" i="4"/>
  <c r="F8" i="4"/>
  <c r="F55" i="4"/>
  <c r="F51" i="4"/>
  <c r="F47" i="4"/>
  <c r="F43" i="4"/>
  <c r="F39" i="4"/>
  <c r="F35" i="4"/>
  <c r="F31" i="4"/>
  <c r="F27" i="4"/>
  <c r="F23" i="4"/>
  <c r="F19" i="4"/>
  <c r="F15" i="4"/>
  <c r="F11" i="4"/>
  <c r="F54" i="4"/>
  <c r="F50" i="4"/>
  <c r="F46" i="4"/>
  <c r="F42" i="4"/>
  <c r="F38" i="4"/>
  <c r="F34" i="4"/>
  <c r="F30" i="4"/>
  <c r="F26" i="4"/>
  <c r="F22" i="4"/>
  <c r="F18" i="4"/>
  <c r="F14" i="4"/>
  <c r="F10" i="4"/>
  <c r="F57" i="4" l="1"/>
  <c r="K49" i="1"/>
  <c r="Y57" i="4"/>
  <c r="W57" i="4"/>
  <c r="U57" i="4"/>
  <c r="T57" i="4"/>
  <c r="S57" i="4"/>
  <c r="Q57" i="4"/>
  <c r="P57" i="4"/>
  <c r="O57" i="4"/>
  <c r="G45" i="4"/>
  <c r="D57" i="4"/>
  <c r="C57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G41" i="4"/>
  <c r="M41" i="4" s="1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G21" i="4"/>
  <c r="J20" i="4"/>
  <c r="J19" i="4"/>
  <c r="G19" i="4"/>
  <c r="J18" i="4"/>
  <c r="J17" i="4"/>
  <c r="G17" i="4"/>
  <c r="J16" i="4"/>
  <c r="J15" i="4"/>
  <c r="G15" i="4"/>
  <c r="M15" i="4" s="1"/>
  <c r="J14" i="4"/>
  <c r="J13" i="4"/>
  <c r="G13" i="4"/>
  <c r="J12" i="4"/>
  <c r="J11" i="4"/>
  <c r="G11" i="4"/>
  <c r="J10" i="4"/>
  <c r="J9" i="4"/>
  <c r="G9" i="4"/>
  <c r="J8" i="4"/>
  <c r="K38" i="1" l="1"/>
  <c r="D47" i="6"/>
  <c r="H40" i="6" s="1"/>
  <c r="K18" i="1"/>
  <c r="G25" i="4"/>
  <c r="M13" i="4"/>
  <c r="M45" i="4"/>
  <c r="K45" i="4"/>
  <c r="L45" i="4" s="1"/>
  <c r="G7" i="4"/>
  <c r="H57" i="4"/>
  <c r="I82" i="1" s="1"/>
  <c r="J7" i="4"/>
  <c r="J57" i="4" s="1"/>
  <c r="G37" i="4"/>
  <c r="G53" i="4"/>
  <c r="K9" i="4"/>
  <c r="L9" i="4" s="1"/>
  <c r="K11" i="4"/>
  <c r="L11" i="4" s="1"/>
  <c r="K13" i="4"/>
  <c r="L13" i="4" s="1"/>
  <c r="K15" i="4"/>
  <c r="L15" i="4" s="1"/>
  <c r="K17" i="4"/>
  <c r="L17" i="4" s="1"/>
  <c r="K19" i="4"/>
  <c r="L19" i="4" s="1"/>
  <c r="K21" i="4"/>
  <c r="L21" i="4" s="1"/>
  <c r="K25" i="4"/>
  <c r="L25" i="4" s="1"/>
  <c r="G33" i="4"/>
  <c r="K41" i="4"/>
  <c r="L41" i="4" s="1"/>
  <c r="G49" i="4"/>
  <c r="G29" i="4"/>
  <c r="G55" i="4"/>
  <c r="G51" i="4"/>
  <c r="G47" i="4"/>
  <c r="G43" i="4"/>
  <c r="K43" i="4" s="1"/>
  <c r="G39" i="4"/>
  <c r="G35" i="4"/>
  <c r="G31" i="4"/>
  <c r="G52" i="4"/>
  <c r="G48" i="4"/>
  <c r="G44" i="4"/>
  <c r="G40" i="4"/>
  <c r="G36" i="4"/>
  <c r="G32" i="4"/>
  <c r="G28" i="4"/>
  <c r="G24" i="4"/>
  <c r="G20" i="4"/>
  <c r="G16" i="4"/>
  <c r="G12" i="4"/>
  <c r="G8" i="4"/>
  <c r="G54" i="4"/>
  <c r="G50" i="4"/>
  <c r="G46" i="4"/>
  <c r="G42" i="4"/>
  <c r="G38" i="4"/>
  <c r="G34" i="4"/>
  <c r="G30" i="4"/>
  <c r="G26" i="4"/>
  <c r="G22" i="4"/>
  <c r="G18" i="4"/>
  <c r="G14" i="4"/>
  <c r="G10" i="4"/>
  <c r="G27" i="4"/>
  <c r="G23" i="4"/>
  <c r="M82" i="1"/>
  <c r="K45" i="1" l="1"/>
  <c r="K42" i="1"/>
  <c r="K46" i="1"/>
  <c r="K41" i="1"/>
  <c r="K47" i="1"/>
  <c r="K43" i="1"/>
  <c r="P43" i="1"/>
  <c r="P41" i="1"/>
  <c r="H44" i="6"/>
  <c r="M18" i="1"/>
  <c r="H42" i="6"/>
  <c r="H41" i="6"/>
  <c r="H45" i="6"/>
  <c r="J45" i="6" s="1"/>
  <c r="H43" i="6"/>
  <c r="R49" i="1"/>
  <c r="K125" i="1" s="1"/>
  <c r="P49" i="1"/>
  <c r="I125" i="1" s="1"/>
  <c r="M7" i="4"/>
  <c r="K7" i="4"/>
  <c r="L7" i="4" s="1"/>
  <c r="M11" i="4"/>
  <c r="K27" i="4"/>
  <c r="L27" i="4" s="1"/>
  <c r="K38" i="4"/>
  <c r="L38" i="4" s="1"/>
  <c r="K20" i="4"/>
  <c r="L20" i="4" s="1"/>
  <c r="M20" i="4"/>
  <c r="K52" i="4"/>
  <c r="L52" i="4" s="1"/>
  <c r="K29" i="4"/>
  <c r="L29" i="4" s="1"/>
  <c r="M10" i="4"/>
  <c r="K10" i="4"/>
  <c r="L10" i="4" s="1"/>
  <c r="K26" i="4"/>
  <c r="L26" i="4" s="1"/>
  <c r="K8" i="4"/>
  <c r="L8" i="4" s="1"/>
  <c r="K40" i="4"/>
  <c r="L40" i="4" s="1"/>
  <c r="K47" i="4"/>
  <c r="L47" i="4" s="1"/>
  <c r="M47" i="4"/>
  <c r="K49" i="4"/>
  <c r="L49" i="4" s="1"/>
  <c r="M37" i="4"/>
  <c r="K37" i="4"/>
  <c r="L37" i="4" s="1"/>
  <c r="M21" i="4"/>
  <c r="K23" i="4"/>
  <c r="L23" i="4" s="1"/>
  <c r="M23" i="4"/>
  <c r="K18" i="4"/>
  <c r="L18" i="4" s="1"/>
  <c r="K34" i="4"/>
  <c r="L34" i="4" s="1"/>
  <c r="K50" i="4"/>
  <c r="L50" i="4" s="1"/>
  <c r="K16" i="4"/>
  <c r="L16" i="4" s="1"/>
  <c r="K32" i="4"/>
  <c r="L32" i="4" s="1"/>
  <c r="K48" i="4"/>
  <c r="L48" i="4" s="1"/>
  <c r="K39" i="4"/>
  <c r="L39" i="4" s="1"/>
  <c r="M39" i="4"/>
  <c r="K55" i="4"/>
  <c r="L55" i="4" s="1"/>
  <c r="M55" i="4"/>
  <c r="K33" i="4"/>
  <c r="L33" i="4" s="1"/>
  <c r="M17" i="4"/>
  <c r="K22" i="4"/>
  <c r="L22" i="4" s="1"/>
  <c r="K54" i="4"/>
  <c r="L54" i="4" s="1"/>
  <c r="K36" i="4"/>
  <c r="L36" i="4" s="1"/>
  <c r="M36" i="4"/>
  <c r="L43" i="4"/>
  <c r="K53" i="4"/>
  <c r="L53" i="4" s="1"/>
  <c r="M25" i="4"/>
  <c r="M42" i="4"/>
  <c r="K42" i="4"/>
  <c r="L42" i="4" s="1"/>
  <c r="K24" i="4"/>
  <c r="L24" i="4" s="1"/>
  <c r="K31" i="4"/>
  <c r="L31" i="4" s="1"/>
  <c r="M31" i="4"/>
  <c r="K14" i="4"/>
  <c r="L14" i="4" s="1"/>
  <c r="K30" i="4"/>
  <c r="L30" i="4" s="1"/>
  <c r="K46" i="4"/>
  <c r="L46" i="4" s="1"/>
  <c r="K12" i="4"/>
  <c r="L12" i="4" s="1"/>
  <c r="M12" i="4"/>
  <c r="K28" i="4"/>
  <c r="L28" i="4" s="1"/>
  <c r="M28" i="4"/>
  <c r="K44" i="4"/>
  <c r="L44" i="4" s="1"/>
  <c r="K35" i="4"/>
  <c r="L35" i="4" s="1"/>
  <c r="M35" i="4"/>
  <c r="K51" i="4"/>
  <c r="L51" i="4" s="1"/>
  <c r="M51" i="4"/>
  <c r="M19" i="4"/>
  <c r="M9" i="4"/>
  <c r="K123" i="1"/>
  <c r="I114" i="1"/>
  <c r="I69" i="1"/>
  <c r="K62" i="1"/>
  <c r="K51" i="1"/>
  <c r="M51" i="1" s="1"/>
  <c r="M38" i="1"/>
  <c r="M33" i="1"/>
  <c r="O18" i="1"/>
  <c r="H46" i="6" l="1"/>
  <c r="M16" i="4"/>
  <c r="K67" i="1"/>
  <c r="K65" i="1"/>
  <c r="U49" i="1"/>
  <c r="K80" i="1"/>
  <c r="M62" i="1"/>
  <c r="M69" i="1" s="1"/>
  <c r="R69" i="1" s="1"/>
  <c r="M20" i="1"/>
  <c r="M44" i="4"/>
  <c r="M48" i="4"/>
  <c r="M46" i="4"/>
  <c r="M32" i="4"/>
  <c r="M54" i="4"/>
  <c r="M18" i="4"/>
  <c r="P45" i="1"/>
  <c r="I118" i="1" s="1"/>
  <c r="R45" i="1"/>
  <c r="K118" i="1" s="1"/>
  <c r="R43" i="1"/>
  <c r="K111" i="1" s="1"/>
  <c r="I111" i="1"/>
  <c r="P46" i="1"/>
  <c r="I119" i="1" s="1"/>
  <c r="R46" i="1"/>
  <c r="K119" i="1" s="1"/>
  <c r="R42" i="1"/>
  <c r="K110" i="1" s="1"/>
  <c r="P42" i="1"/>
  <c r="I110" i="1" s="1"/>
  <c r="R41" i="1"/>
  <c r="K109" i="1" s="1"/>
  <c r="I109" i="1"/>
  <c r="R47" i="1"/>
  <c r="K120" i="1" s="1"/>
  <c r="P47" i="1"/>
  <c r="I120" i="1" s="1"/>
  <c r="M33" i="4"/>
  <c r="M22" i="4"/>
  <c r="M34" i="4"/>
  <c r="M14" i="4"/>
  <c r="M53" i="4"/>
  <c r="M40" i="4"/>
  <c r="M29" i="4"/>
  <c r="M27" i="4"/>
  <c r="M8" i="4"/>
  <c r="M50" i="4"/>
  <c r="M38" i="4"/>
  <c r="M24" i="4"/>
  <c r="M52" i="4"/>
  <c r="L57" i="4"/>
  <c r="M30" i="4"/>
  <c r="M43" i="4"/>
  <c r="M49" i="4"/>
  <c r="M26" i="4"/>
  <c r="K82" i="1" l="1"/>
  <c r="P82" i="1" s="1"/>
  <c r="M67" i="1"/>
  <c r="R67" i="1" s="1"/>
  <c r="M65" i="1"/>
  <c r="P65" i="1" s="1"/>
  <c r="M57" i="4"/>
  <c r="K92" i="1" l="1"/>
  <c r="M92" i="1"/>
  <c r="I92" i="1" s="1"/>
  <c r="P67" i="1"/>
  <c r="R65" i="1"/>
  <c r="P69" i="1"/>
  <c r="P71" i="1" l="1"/>
  <c r="R71" i="1"/>
  <c r="P73" i="1" l="1"/>
  <c r="R73" i="1"/>
  <c r="R76" i="1" s="1"/>
  <c r="M90" i="1" l="1"/>
  <c r="K90" i="1"/>
  <c r="P76" i="1"/>
  <c r="I90" i="1" l="1"/>
  <c r="I94" i="1" s="1"/>
  <c r="K121" i="1" s="1"/>
  <c r="K94" i="1"/>
  <c r="M94" i="1"/>
  <c r="I115" i="1" s="1"/>
  <c r="H17" i="6" l="1"/>
  <c r="H29" i="6"/>
  <c r="N25" i="6"/>
  <c r="I112" i="1"/>
  <c r="I126" i="1" s="1"/>
  <c r="K115" i="1"/>
  <c r="R17" i="6" l="1"/>
  <c r="O17" i="6"/>
  <c r="Q17" i="6"/>
  <c r="P17" i="6"/>
  <c r="N17" i="6"/>
  <c r="P29" i="6"/>
  <c r="O29" i="6"/>
  <c r="R29" i="6"/>
  <c r="N29" i="6"/>
  <c r="Q29" i="6"/>
  <c r="Q28" i="6"/>
  <c r="O28" i="6"/>
  <c r="M28" i="6"/>
  <c r="P28" i="6"/>
  <c r="N28" i="6"/>
  <c r="Q16" i="6"/>
  <c r="O16" i="6"/>
  <c r="M16" i="6"/>
  <c r="P16" i="6"/>
  <c r="N16" i="6"/>
  <c r="P27" i="6"/>
  <c r="O27" i="6"/>
  <c r="P15" i="6"/>
  <c r="O15" i="6"/>
  <c r="K126" i="1"/>
  <c r="K128" i="1" s="1"/>
  <c r="N15" i="6"/>
  <c r="L15" i="6"/>
  <c r="M15" i="6"/>
  <c r="K20" i="6"/>
  <c r="N27" i="6"/>
  <c r="M27" i="6"/>
  <c r="L27" i="6"/>
  <c r="J25" i="6"/>
  <c r="M13" i="6"/>
  <c r="L25" i="6"/>
  <c r="M25" i="6"/>
  <c r="L13" i="6"/>
  <c r="J13" i="6"/>
  <c r="S29" i="6" l="1"/>
  <c r="S33" i="6" s="1"/>
  <c r="S17" i="6"/>
  <c r="S20" i="6" s="1"/>
  <c r="R28" i="6"/>
  <c r="R33" i="6" s="1"/>
  <c r="N33" i="6"/>
  <c r="R16" i="6"/>
  <c r="R20" i="6" s="1"/>
  <c r="N20" i="6"/>
  <c r="J33" i="6"/>
  <c r="O25" i="6"/>
  <c r="O33" i="6" s="1"/>
  <c r="O13" i="6"/>
  <c r="O20" i="6" s="1"/>
  <c r="L20" i="6"/>
  <c r="Q15" i="6"/>
  <c r="Q20" i="6" s="1"/>
  <c r="J20" i="6"/>
  <c r="L33" i="6"/>
  <c r="M20" i="6"/>
  <c r="K33" i="6"/>
  <c r="P20" i="6"/>
  <c r="M33" i="6"/>
  <c r="I145" i="1" l="1"/>
  <c r="K147" i="1" s="1"/>
  <c r="K145" i="1"/>
  <c r="I147" i="1" s="1"/>
  <c r="I43" i="6"/>
  <c r="I44" i="6"/>
  <c r="I40" i="6"/>
  <c r="J40" i="6" s="1"/>
  <c r="P33" i="6"/>
  <c r="I41" i="6" s="1"/>
  <c r="J41" i="6" s="1"/>
  <c r="Q27" i="6"/>
  <c r="Q33" i="6" s="1"/>
  <c r="I42" i="6" s="1"/>
  <c r="J42" i="6" s="1"/>
  <c r="I46" i="6" l="1"/>
  <c r="J43" i="6"/>
  <c r="J44" i="6"/>
  <c r="J46" i="6" l="1"/>
</calcChain>
</file>

<file path=xl/sharedStrings.xml><?xml version="1.0" encoding="utf-8"?>
<sst xmlns="http://schemas.openxmlformats.org/spreadsheetml/2006/main" count="1353" uniqueCount="216">
  <si>
    <t>Calculation of the Change in Proportion:</t>
  </si>
  <si>
    <t xml:space="preserve">Deferred </t>
  </si>
  <si>
    <t xml:space="preserve">Outflows of </t>
  </si>
  <si>
    <t>Inflows of</t>
  </si>
  <si>
    <t>NPL</t>
  </si>
  <si>
    <t>Resources</t>
  </si>
  <si>
    <t>( % )</t>
  </si>
  <si>
    <t>(Computed)</t>
  </si>
  <si>
    <t>Employer's prior year proportionate share</t>
  </si>
  <si>
    <t>Employer's current year proportionate share</t>
  </si>
  <si>
    <t>Increase (decrease) in beginning balance</t>
  </si>
  <si>
    <t xml:space="preserve">      Net effect (increase in deferred outflows of resources)</t>
  </si>
  <si>
    <t xml:space="preserve">     </t>
  </si>
  <si>
    <t>Difference between Proportionate Share of Collective</t>
  </si>
  <si>
    <t xml:space="preserve">   contributions and employer's actual contributions:</t>
  </si>
  <si>
    <t>Employer's proportionate share of total employer</t>
  </si>
  <si>
    <t xml:space="preserve">   contributions</t>
  </si>
  <si>
    <t>(Computed using current year %.)</t>
  </si>
  <si>
    <t>Difference (increase in deferred inflows of resources (should be minimal)</t>
  </si>
  <si>
    <t>Proportionate Shares of Collective Balances</t>
  </si>
  <si>
    <t>Proportionate Share @</t>
  </si>
  <si>
    <t>Change in Proportionate Share of</t>
  </si>
  <si>
    <t>Debit Balances</t>
  </si>
  <si>
    <t>Credit Balances</t>
  </si>
  <si>
    <t>(a)</t>
  </si>
  <si>
    <t>(b)</t>
  </si>
  <si>
    <t>(b) - (a)</t>
  </si>
  <si>
    <t>Deferred Outflows</t>
  </si>
  <si>
    <t>Difference Between Expected and Actual Experience</t>
  </si>
  <si>
    <t>Change in Assumptions</t>
  </si>
  <si>
    <t>Deferred Inflows</t>
  </si>
  <si>
    <t>Difference between Projected and Actual Investment</t>
  </si>
  <si>
    <t>Net Pension Liability</t>
  </si>
  <si>
    <t>e</t>
  </si>
  <si>
    <t>Collective Pension Expense</t>
  </si>
  <si>
    <t>K1</t>
  </si>
  <si>
    <t>X</t>
  </si>
  <si>
    <t>(Proportionate %)</t>
  </si>
  <si>
    <t>Change in Entity's Proportion (2a)</t>
  </si>
  <si>
    <t>Collective amounts</t>
  </si>
  <si>
    <t>Deferred Outflows of Resources</t>
  </si>
  <si>
    <t>Deferred inflows of Resources</t>
  </si>
  <si>
    <t>Total of changes in the Entity's beginning reported balances</t>
  </si>
  <si>
    <t>Amount to be recognized for the net effect of the change</t>
  </si>
  <si>
    <t xml:space="preserve">    in the Entity's proportion on beginning reported balances</t>
  </si>
  <si>
    <t>Total of amounts recognized for the change in Entity's proportion</t>
  </si>
  <si>
    <t xml:space="preserve">Proportionate </t>
  </si>
  <si>
    <t>Entity's contributions during the measurement period (2b)</t>
  </si>
  <si>
    <t>Entity</t>
  </si>
  <si>
    <t>Contributions</t>
  </si>
  <si>
    <t>Difference</t>
  </si>
  <si>
    <t>Collective Amount</t>
  </si>
  <si>
    <t>Net effect of change in proportion and differences between</t>
  </si>
  <si>
    <t xml:space="preserve">Pension </t>
  </si>
  <si>
    <t>Entity contributions and proportionate share of contributions (2c)</t>
  </si>
  <si>
    <t>of Resources</t>
  </si>
  <si>
    <t>Expense</t>
  </si>
  <si>
    <t>Change in proportion (from (2a) above)</t>
  </si>
  <si>
    <t>Contributions during measurement period (from 2b) above</t>
  </si>
  <si>
    <t>Net amount recognized</t>
  </si>
  <si>
    <t>Average expected remaining service life for all System members:</t>
  </si>
  <si>
    <t>years</t>
  </si>
  <si>
    <t>DR</t>
  </si>
  <si>
    <t>CR</t>
  </si>
  <si>
    <t>Pension Expense</t>
  </si>
  <si>
    <t>Pension Expense -  proportion of collective pension expense</t>
  </si>
  <si>
    <t>Pension Expense - amortization of proportion changes</t>
  </si>
  <si>
    <t>Difference Between Projected and Actual Investment</t>
  </si>
  <si>
    <t xml:space="preserve">Deferred Outflows of Resources </t>
  </si>
  <si>
    <t>Totals</t>
  </si>
  <si>
    <t>Check figure</t>
  </si>
  <si>
    <t xml:space="preserve">Deferred Outflows of Resources - </t>
  </si>
  <si>
    <t>Rounding</t>
  </si>
  <si>
    <t>Total employer contributions (as reported on MF&amp;PRS Spreadsheet)</t>
  </si>
  <si>
    <t>Employer's actual contributions (as reported on MF&amp;PRS Spreadsheet)</t>
  </si>
  <si>
    <t xml:space="preserve">Employer contributions </t>
  </si>
  <si>
    <t>.</t>
  </si>
  <si>
    <t>(Per MFPRSI Spreadsheet)</t>
  </si>
  <si>
    <t>Actuarially</t>
  </si>
  <si>
    <t>Change in Proportionate Share</t>
  </si>
  <si>
    <t>Change in</t>
  </si>
  <si>
    <t>Contribution</t>
  </si>
  <si>
    <t>Expected</t>
  </si>
  <si>
    <t>Projected</t>
  </si>
  <si>
    <t>Share of</t>
  </si>
  <si>
    <t>Proportionate</t>
  </si>
  <si>
    <t>NPL Beginning</t>
  </si>
  <si>
    <t>Share of NPL</t>
  </si>
  <si>
    <t>in Relation</t>
  </si>
  <si>
    <t>Deficiency/</t>
  </si>
  <si>
    <t>Pension</t>
  </si>
  <si>
    <t>Deferred</t>
  </si>
  <si>
    <t>and Actual</t>
  </si>
  <si>
    <t>CITY</t>
  </si>
  <si>
    <t>Share (%)</t>
  </si>
  <si>
    <t>Balance</t>
  </si>
  <si>
    <t>Share</t>
  </si>
  <si>
    <t>to the ADC</t>
  </si>
  <si>
    <t>(Excess)</t>
  </si>
  <si>
    <t>Outflows</t>
  </si>
  <si>
    <t>Inflows</t>
  </si>
  <si>
    <t>Experience</t>
  </si>
  <si>
    <t>Assumptions</t>
  </si>
  <si>
    <t>Earnings</t>
  </si>
  <si>
    <t>AMES</t>
  </si>
  <si>
    <t>ANKENY</t>
  </si>
  <si>
    <t>BETTENDORF</t>
  </si>
  <si>
    <t>BOONE</t>
  </si>
  <si>
    <t>BURLINGTON</t>
  </si>
  <si>
    <t>CAMANCHE</t>
  </si>
  <si>
    <t>CARROLL</t>
  </si>
  <si>
    <t>CEDAR FALLS</t>
  </si>
  <si>
    <t>CEDAR RAPIDS</t>
  </si>
  <si>
    <t>CENTERVILLE</t>
  </si>
  <si>
    <t>CHARLES CITY</t>
  </si>
  <si>
    <t>CLINTON</t>
  </si>
  <si>
    <t>CLIVE</t>
  </si>
  <si>
    <t>COUNCIL BLUFFS</t>
  </si>
  <si>
    <t>CRESTON</t>
  </si>
  <si>
    <t>DAVENPORT</t>
  </si>
  <si>
    <t>DECORAH</t>
  </si>
  <si>
    <t>DES MOINES</t>
  </si>
  <si>
    <t>DEWITT</t>
  </si>
  <si>
    <t>DUBUQUE</t>
  </si>
  <si>
    <t>ESTHERVILLE</t>
  </si>
  <si>
    <t>EVANSDALE</t>
  </si>
  <si>
    <t>FAIRFIELD</t>
  </si>
  <si>
    <t>FORT DODGE</t>
  </si>
  <si>
    <t>FORT MADISON</t>
  </si>
  <si>
    <t>GRINNELL</t>
  </si>
  <si>
    <t>INDIANOLA</t>
  </si>
  <si>
    <t>IOWA CITY</t>
  </si>
  <si>
    <t>KEOKUK</t>
  </si>
  <si>
    <t>KNOXVILLE</t>
  </si>
  <si>
    <t>LEMARS</t>
  </si>
  <si>
    <t>MAQUOKETA</t>
  </si>
  <si>
    <t>MARION</t>
  </si>
  <si>
    <t>MARSHALLTOWN</t>
  </si>
  <si>
    <t>MASON CITY</t>
  </si>
  <si>
    <t>MUSCATINE</t>
  </si>
  <si>
    <t>NEWTON</t>
  </si>
  <si>
    <t>OELWEIN</t>
  </si>
  <si>
    <t>OSKALOOSA</t>
  </si>
  <si>
    <t>OTTUMWA</t>
  </si>
  <si>
    <t>PELLA</t>
  </si>
  <si>
    <t>SIOUX CITY</t>
  </si>
  <si>
    <t>SPENCER</t>
  </si>
  <si>
    <t>STORM LAKE</t>
  </si>
  <si>
    <t>URBANDALE</t>
  </si>
  <si>
    <t>WATERLOO</t>
  </si>
  <si>
    <t>WAVERLY</t>
  </si>
  <si>
    <t>WEBSTER CITY</t>
  </si>
  <si>
    <t>WEST DES MOINES</t>
  </si>
  <si>
    <t>Rounding Adjustment</t>
  </si>
  <si>
    <t>City</t>
  </si>
  <si>
    <t>ID</t>
  </si>
  <si>
    <t>City ID</t>
  </si>
  <si>
    <t>Supplemental GASB 68 Schedule I</t>
  </si>
  <si>
    <t>Supplemental GASB 68 Schedule II</t>
  </si>
  <si>
    <t>Share Of</t>
  </si>
  <si>
    <t>Changes in</t>
  </si>
  <si>
    <t>MFPRSI GASB 68 Calculator</t>
  </si>
  <si>
    <t>Instructions:  Manually enter in the Deferred Outflows of Resources and Expense in the corresponding yellow boxes.  This information should equal the employer's current fiscal year contributions to MFPRSI.</t>
  </si>
  <si>
    <t xml:space="preserve">Amortization Schedule of the Net Change in the Proportion and Contributions </t>
  </si>
  <si>
    <t>(GASB 68 paragraphs 54 &amp; 55)</t>
  </si>
  <si>
    <t>(Per GASB 68 paragraph 52 the change in proportion and contributions may be netted for the year)</t>
  </si>
  <si>
    <t xml:space="preserve">Year of </t>
  </si>
  <si>
    <t>Amortization</t>
  </si>
  <si>
    <t xml:space="preserve">Amount of </t>
  </si>
  <si>
    <t>Amount to be Amortized in:</t>
  </si>
  <si>
    <t>Deferral</t>
  </si>
  <si>
    <t>Period in years</t>
  </si>
  <si>
    <t>Deferred outflows of resources:</t>
  </si>
  <si>
    <t>Total amortization of outflows</t>
  </si>
  <si>
    <t>Deferred inflows of resources:</t>
  </si>
  <si>
    <t>Total amortization of inflows</t>
  </si>
  <si>
    <t>Amortization of Deferred Outflows and Deferred Inflows of Resources:</t>
  </si>
  <si>
    <t>To be amortized during:</t>
  </si>
  <si>
    <t>Collective per</t>
  </si>
  <si>
    <t>Employer's</t>
  </si>
  <si>
    <t xml:space="preserve">From </t>
  </si>
  <si>
    <t xml:space="preserve">Year ending June 30, </t>
  </si>
  <si>
    <t>Actuary Report</t>
  </si>
  <si>
    <t>Proportion</t>
  </si>
  <si>
    <t>Above</t>
  </si>
  <si>
    <t>Total</t>
  </si>
  <si>
    <t>Thereafter</t>
  </si>
  <si>
    <t xml:space="preserve">             Totals</t>
  </si>
  <si>
    <t>Proportionate %:</t>
  </si>
  <si>
    <t>(Column G X D40)</t>
  </si>
  <si>
    <t>To record amoritzation of prior year deferred inflows for</t>
  </si>
  <si>
    <t>Deferred Outflows of Resources-from Proportionate Change</t>
  </si>
  <si>
    <t>Deferred Outflows (Inflows) of Resources</t>
  </si>
  <si>
    <t xml:space="preserve">Total Change in </t>
  </si>
  <si>
    <t>Proportionate Share</t>
  </si>
  <si>
    <t>MFPRSI Amortization Schedule</t>
  </si>
  <si>
    <t>Total Contributions in Relation to the ADC:</t>
  </si>
  <si>
    <t>net</t>
  </si>
  <si>
    <t>Deferred Inflows of Resources from proportion change</t>
  </si>
  <si>
    <t>Deferred Outflows of Resources from proportion change</t>
  </si>
  <si>
    <t>Deferred Inflows (Net projected and actual investment inflow balance)</t>
  </si>
  <si>
    <t>GAAP reporting cities may need to make the following beginning entry to move their Net Difference Between Projected and Actual Investment balance from deferred inflows to deferred outflows</t>
  </si>
  <si>
    <t>Deferred Outflows (Net projected and actual investment inflow balance)</t>
  </si>
  <si>
    <t>Instructions:  Locate the corresponding City ID in column A with your City in column B on the tab, MFPRSI Supplemental Info 2024.  Enter the City ID in the yellow box below and press 'Enter'.   Entering the City ID will auto-populate data for the gray boxes on the calculator.  Amounts to be used as journal entries as of June 30, 2025, will be created below.</t>
  </si>
  <si>
    <t>Beginning balance collective measure (as of June 30, 2023 measurement date)</t>
  </si>
  <si>
    <t>at June 30, 2023</t>
  </si>
  <si>
    <t>Share at 6/30/2024</t>
  </si>
  <si>
    <t>Journal Entries for Entity's Year Ended June 30, 2025 (June 30, 2024 measurement date)</t>
  </si>
  <si>
    <t xml:space="preserve"> - Entity contributions from 7/01/2023 through 6/30/2024</t>
  </si>
  <si>
    <t>To record pension accrual amounts for the year ended June 30, 2025</t>
  </si>
  <si>
    <t xml:space="preserve">   based on the June 30, 2024 measurement date.</t>
  </si>
  <si>
    <t>Journal Entry to record deferred outflow at June 30, 2025:</t>
  </si>
  <si>
    <t>To record employer contributions from July 1, 2024</t>
  </si>
  <si>
    <t xml:space="preserve">   through June 30, 2025 as deferred outflows at June 30, 2025.</t>
  </si>
  <si>
    <t>the year ended June 30,2025</t>
  </si>
  <si>
    <t>Instructions: Enter amount from the Prior year MFPRSI GASB 68 caclulator's "amort" tab for 2020 - 2024 outflows and inflows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</si>
</sst>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00000"/>
    <numFmt numFmtId="166" formatCode="_(* #,##0_);_(* \(#,##0\);_(* &quot;-&quot;??_);_(@_)"/>
    <numFmt numFmtId="167" formatCode="[$-409]mmmm\ d\,\ yyyy;@"/>
    <numFmt numFmtId="168" formatCode="0.000000%"/>
    <numFmt numFmtId="169" formatCode="mm/dd/yy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doubleAccounting"/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u/>
      <sz val="10"/>
      <color theme="1"/>
      <name val="Arial Narrow"/>
      <family val="2"/>
    </font>
    <font>
      <u/>
      <sz val="10"/>
      <name val="Arial Narrow"/>
      <family val="2"/>
    </font>
    <font>
      <u val="singleAccounting"/>
      <sz val="10"/>
      <color theme="1"/>
      <name val="Arial Narrow"/>
      <family val="2"/>
    </font>
    <font>
      <sz val="10"/>
      <name val="Arial Narrow"/>
      <family val="2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rgb="FFFF0000"/>
      <name val="Arial Narrow"/>
      <family val="2"/>
    </font>
    <font>
      <u val="singleAccounting"/>
      <sz val="10"/>
      <name val="Arial Narrow"/>
      <family val="2"/>
    </font>
    <font>
      <b/>
      <sz val="10"/>
      <name val="Arial Narrow"/>
      <family val="2"/>
    </font>
    <font>
      <sz val="11"/>
      <name val="Calibri"/>
      <family val="2"/>
      <scheme val="minor"/>
    </font>
    <font>
      <u val="singleAccounting"/>
      <sz val="10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3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164" fontId="0" fillId="0" borderId="1" xfId="2" applyNumberFormat="1" applyFont="1" applyBorder="1"/>
    <xf numFmtId="0" fontId="0" fillId="0" borderId="0" xfId="0" applyAlignment="1">
      <alignment horizontal="center"/>
    </xf>
    <xf numFmtId="164" fontId="0" fillId="0" borderId="0" xfId="2" applyNumberFormat="1" applyFont="1"/>
    <xf numFmtId="0" fontId="5" fillId="0" borderId="0" xfId="0" applyFont="1"/>
    <xf numFmtId="164" fontId="0" fillId="0" borderId="2" xfId="2" applyNumberFormat="1" applyFont="1" applyBorder="1"/>
    <xf numFmtId="164" fontId="6" fillId="0" borderId="0" xfId="2" applyNumberFormat="1" applyFont="1"/>
    <xf numFmtId="0" fontId="2" fillId="0" borderId="0" xfId="0" applyFont="1"/>
    <xf numFmtId="164" fontId="0" fillId="0" borderId="0" xfId="2" applyNumberFormat="1" applyFont="1" applyBorder="1"/>
    <xf numFmtId="44" fontId="0" fillId="0" borderId="0" xfId="0" applyNumberFormat="1"/>
    <xf numFmtId="0" fontId="2" fillId="0" borderId="3" xfId="0" applyFont="1" applyBorder="1"/>
    <xf numFmtId="164" fontId="2" fillId="0" borderId="0" xfId="2" applyNumberFormat="1" applyFont="1"/>
    <xf numFmtId="44" fontId="0" fillId="0" borderId="0" xfId="2" applyFont="1"/>
    <xf numFmtId="166" fontId="0" fillId="0" borderId="0" xfId="1" applyNumberFormat="1" applyFont="1"/>
    <xf numFmtId="0" fontId="0" fillId="0" borderId="3" xfId="0" applyBorder="1"/>
    <xf numFmtId="167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164" fontId="2" fillId="0" borderId="0" xfId="2" applyNumberFormat="1" applyFont="1" applyAlignment="1">
      <alignment horizontal="center"/>
    </xf>
    <xf numFmtId="168" fontId="0" fillId="0" borderId="3" xfId="3" applyNumberFormat="1" applyFont="1" applyBorder="1"/>
    <xf numFmtId="168" fontId="0" fillId="0" borderId="0" xfId="3" applyNumberFormat="1" applyFont="1" applyBorder="1"/>
    <xf numFmtId="164" fontId="0" fillId="0" borderId="4" xfId="2" applyNumberFormat="1" applyFont="1" applyBorder="1"/>
    <xf numFmtId="164" fontId="0" fillId="0" borderId="0" xfId="0" applyNumberFormat="1"/>
    <xf numFmtId="1" fontId="0" fillId="0" borderId="0" xfId="0" applyNumberFormat="1"/>
    <xf numFmtId="166" fontId="0" fillId="0" borderId="3" xfId="1" applyNumberFormat="1" applyFont="1" applyBorder="1"/>
    <xf numFmtId="164" fontId="1" fillId="0" borderId="0" xfId="2" applyNumberFormat="1" applyFont="1" applyFill="1" applyBorder="1"/>
    <xf numFmtId="164" fontId="0" fillId="0" borderId="3" xfId="2" applyNumberFormat="1" applyFont="1" applyBorder="1"/>
    <xf numFmtId="165" fontId="2" fillId="0" borderId="0" xfId="0" applyNumberFormat="1" applyFont="1" applyAlignment="1">
      <alignment horizontal="center"/>
    </xf>
    <xf numFmtId="166" fontId="0" fillId="0" borderId="0" xfId="1" applyNumberFormat="1" applyFont="1" applyBorder="1"/>
    <xf numFmtId="166" fontId="0" fillId="0" borderId="4" xfId="1" applyNumberFormat="1" applyFont="1" applyBorder="1"/>
    <xf numFmtId="166" fontId="2" fillId="0" borderId="4" xfId="1" applyNumberFormat="1" applyFont="1" applyBorder="1" applyAlignment="1">
      <alignment horizontal="center"/>
    </xf>
    <xf numFmtId="166" fontId="2" fillId="0" borderId="0" xfId="1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166" fontId="2" fillId="0" borderId="0" xfId="0" applyNumberFormat="1" applyFont="1" applyAlignment="1">
      <alignment horizontal="center"/>
    </xf>
    <xf numFmtId="166" fontId="0" fillId="0" borderId="0" xfId="0" applyNumberFormat="1"/>
    <xf numFmtId="166" fontId="2" fillId="0" borderId="0" xfId="1" applyNumberFormat="1" applyFont="1" applyAlignment="1">
      <alignment horizontal="center"/>
    </xf>
    <xf numFmtId="164" fontId="0" fillId="0" borderId="2" xfId="0" applyNumberFormat="1" applyBorder="1"/>
    <xf numFmtId="0" fontId="0" fillId="0" borderId="2" xfId="0" applyBorder="1"/>
    <xf numFmtId="164" fontId="0" fillId="0" borderId="0" xfId="2" applyNumberFormat="1" applyFont="1" applyAlignment="1">
      <alignment horizontal="right"/>
    </xf>
    <xf numFmtId="0" fontId="0" fillId="0" borderId="0" xfId="0" applyAlignment="1">
      <alignment horizontal="right"/>
    </xf>
    <xf numFmtId="0" fontId="7" fillId="0" borderId="0" xfId="0" applyFont="1" applyAlignment="1">
      <alignment horizontal="center"/>
    </xf>
    <xf numFmtId="0" fontId="8" fillId="0" borderId="0" xfId="0" applyFont="1"/>
    <xf numFmtId="168" fontId="7" fillId="0" borderId="0" xfId="3" applyNumberFormat="1" applyFont="1"/>
    <xf numFmtId="43" fontId="7" fillId="0" borderId="0" xfId="1" applyFont="1"/>
    <xf numFmtId="0" fontId="7" fillId="0" borderId="0" xfId="0" applyFont="1"/>
    <xf numFmtId="166" fontId="7" fillId="0" borderId="0" xfId="0" applyNumberFormat="1" applyFont="1"/>
    <xf numFmtId="43" fontId="7" fillId="0" borderId="0" xfId="1" applyFont="1" applyAlignment="1">
      <alignment horizontal="center"/>
    </xf>
    <xf numFmtId="0" fontId="9" fillId="0" borderId="0" xfId="0" applyFont="1" applyAlignment="1">
      <alignment horizontal="center"/>
    </xf>
    <xf numFmtId="167" fontId="7" fillId="0" borderId="0" xfId="1" applyNumberFormat="1" applyFont="1" applyAlignment="1">
      <alignment horizontal="center"/>
    </xf>
    <xf numFmtId="168" fontId="7" fillId="0" borderId="0" xfId="3" applyNumberFormat="1" applyFont="1" applyAlignment="1">
      <alignment horizontal="center"/>
    </xf>
    <xf numFmtId="166" fontId="7" fillId="0" borderId="0" xfId="1" applyNumberFormat="1" applyFont="1" applyAlignment="1">
      <alignment horizontal="center"/>
    </xf>
    <xf numFmtId="0" fontId="10" fillId="0" borderId="0" xfId="0" applyFont="1" applyAlignment="1">
      <alignment horizontal="left"/>
    </xf>
    <xf numFmtId="168" fontId="11" fillId="0" borderId="0" xfId="3" applyNumberFormat="1" applyFont="1" applyBorder="1" applyAlignment="1">
      <alignment horizontal="center"/>
    </xf>
    <xf numFmtId="43" fontId="11" fillId="0" borderId="0" xfId="1" applyFont="1" applyBorder="1" applyAlignment="1">
      <alignment horizontal="center"/>
    </xf>
    <xf numFmtId="167" fontId="11" fillId="0" borderId="0" xfId="1" applyNumberFormat="1" applyFont="1" applyBorder="1" applyAlignment="1">
      <alignment horizontal="center"/>
    </xf>
    <xf numFmtId="43" fontId="11" fillId="0" borderId="0" xfId="1" applyFont="1" applyAlignment="1">
      <alignment horizontal="center"/>
    </xf>
    <xf numFmtId="166" fontId="11" fillId="0" borderId="0" xfId="1" applyNumberFormat="1" applyFont="1" applyAlignment="1">
      <alignment horizontal="center"/>
    </xf>
    <xf numFmtId="169" fontId="12" fillId="0" borderId="0" xfId="0" applyNumberFormat="1" applyFont="1" applyAlignment="1">
      <alignment horizontal="left"/>
    </xf>
    <xf numFmtId="37" fontId="7" fillId="0" borderId="0" xfId="1" applyNumberFormat="1" applyFont="1"/>
    <xf numFmtId="166" fontId="7" fillId="0" borderId="0" xfId="1" applyNumberFormat="1" applyFont="1"/>
    <xf numFmtId="166" fontId="7" fillId="0" borderId="0" xfId="0" applyNumberFormat="1" applyFont="1" applyAlignment="1">
      <alignment horizontal="right"/>
    </xf>
    <xf numFmtId="169" fontId="12" fillId="0" borderId="0" xfId="0" applyNumberFormat="1" applyFont="1"/>
    <xf numFmtId="0" fontId="12" fillId="0" borderId="0" xfId="0" applyFont="1"/>
    <xf numFmtId="9" fontId="7" fillId="0" borderId="0" xfId="3" applyFont="1" applyAlignment="1">
      <alignment horizontal="center"/>
    </xf>
    <xf numFmtId="1" fontId="0" fillId="0" borderId="3" xfId="0" applyNumberFormat="1" applyBorder="1"/>
    <xf numFmtId="165" fontId="0" fillId="0" borderId="1" xfId="0" applyNumberFormat="1" applyBorder="1"/>
    <xf numFmtId="164" fontId="1" fillId="0" borderId="1" xfId="2" applyNumberFormat="1" applyFont="1" applyFill="1" applyBorder="1"/>
    <xf numFmtId="164" fontId="0" fillId="0" borderId="0" xfId="2" applyNumberFormat="1" applyFont="1" applyFill="1"/>
    <xf numFmtId="2" fontId="1" fillId="0" borderId="1" xfId="2" applyNumberFormat="1" applyFont="1" applyFill="1" applyBorder="1"/>
    <xf numFmtId="0" fontId="14" fillId="0" borderId="0" xfId="0" applyFont="1"/>
    <xf numFmtId="164" fontId="0" fillId="0" borderId="14" xfId="2" applyNumberFormat="1" applyFont="1" applyBorder="1"/>
    <xf numFmtId="164" fontId="0" fillId="3" borderId="0" xfId="2" applyNumberFormat="1" applyFont="1" applyFill="1"/>
    <xf numFmtId="168" fontId="0" fillId="0" borderId="2" xfId="3" applyNumberFormat="1" applyFont="1" applyBorder="1"/>
    <xf numFmtId="164" fontId="0" fillId="0" borderId="5" xfId="2" applyNumberFormat="1" applyFont="1" applyFill="1" applyBorder="1"/>
    <xf numFmtId="164" fontId="0" fillId="0" borderId="0" xfId="2" applyNumberFormat="1" applyFont="1" applyFill="1" applyBorder="1"/>
    <xf numFmtId="166" fontId="0" fillId="0" borderId="0" xfId="1" applyNumberFormat="1" applyFont="1" applyFill="1"/>
    <xf numFmtId="2" fontId="0" fillId="0" borderId="5" xfId="0" applyNumberFormat="1" applyBorder="1"/>
    <xf numFmtId="0" fontId="0" fillId="2" borderId="0" xfId="0" applyFill="1"/>
    <xf numFmtId="168" fontId="0" fillId="0" borderId="0" xfId="0" applyNumberFormat="1"/>
    <xf numFmtId="168" fontId="7" fillId="0" borderId="0" xfId="3" applyNumberFormat="1" applyFont="1" applyFill="1"/>
    <xf numFmtId="167" fontId="7" fillId="0" borderId="0" xfId="1" applyNumberFormat="1" applyFont="1" applyFill="1" applyAlignment="1">
      <alignment horizontal="center"/>
    </xf>
    <xf numFmtId="168" fontId="7" fillId="0" borderId="0" xfId="3" applyNumberFormat="1" applyFont="1" applyFill="1" applyAlignment="1">
      <alignment horizontal="center"/>
    </xf>
    <xf numFmtId="168" fontId="11" fillId="0" borderId="0" xfId="3" applyNumberFormat="1" applyFont="1" applyFill="1" applyBorder="1" applyAlignment="1">
      <alignment horizontal="center"/>
    </xf>
    <xf numFmtId="9" fontId="7" fillId="0" borderId="0" xfId="3" applyFont="1" applyFill="1" applyAlignment="1">
      <alignment horizontal="center"/>
    </xf>
    <xf numFmtId="43" fontId="7" fillId="0" borderId="0" xfId="1" applyFont="1" applyFill="1"/>
    <xf numFmtId="43" fontId="7" fillId="0" borderId="0" xfId="1" applyFont="1" applyFill="1" applyAlignment="1">
      <alignment horizontal="center"/>
    </xf>
    <xf numFmtId="43" fontId="11" fillId="0" borderId="0" xfId="1" applyFont="1" applyFill="1" applyBorder="1" applyAlignment="1">
      <alignment horizontal="center"/>
    </xf>
    <xf numFmtId="166" fontId="7" fillId="0" borderId="0" xfId="1" applyNumberFormat="1" applyFont="1" applyFill="1"/>
    <xf numFmtId="37" fontId="7" fillId="0" borderId="0" xfId="1" applyNumberFormat="1" applyFont="1" applyFill="1"/>
    <xf numFmtId="167" fontId="11" fillId="0" borderId="0" xfId="1" applyNumberFormat="1" applyFont="1" applyFill="1" applyBorder="1" applyAlignment="1">
      <alignment horizontal="center"/>
    </xf>
    <xf numFmtId="43" fontId="11" fillId="0" borderId="0" xfId="1" applyFont="1" applyFill="1" applyAlignment="1">
      <alignment horizontal="center"/>
    </xf>
    <xf numFmtId="166" fontId="7" fillId="0" borderId="0" xfId="1" applyNumberFormat="1" applyFont="1" applyFill="1" applyAlignment="1">
      <alignment horizontal="center"/>
    </xf>
    <xf numFmtId="166" fontId="11" fillId="0" borderId="0" xfId="1" applyNumberFormat="1" applyFont="1" applyFill="1" applyAlignment="1">
      <alignment horizontal="center"/>
    </xf>
    <xf numFmtId="164" fontId="7" fillId="0" borderId="0" xfId="2" applyNumberFormat="1" applyFont="1" applyFill="1"/>
    <xf numFmtId="0" fontId="0" fillId="2" borderId="1" xfId="0" applyFill="1" applyBorder="1" applyAlignment="1" applyProtection="1">
      <alignment horizontal="center"/>
      <protection locked="0"/>
    </xf>
    <xf numFmtId="166" fontId="0" fillId="2" borderId="0" xfId="1" applyNumberFormat="1" applyFont="1" applyFill="1" applyProtection="1">
      <protection locked="0"/>
    </xf>
    <xf numFmtId="166" fontId="2" fillId="0" borderId="0" xfId="1" applyNumberFormat="1" applyFont="1" applyAlignment="1" applyProtection="1">
      <alignment horizontal="center"/>
      <protection locked="0"/>
    </xf>
    <xf numFmtId="164" fontId="0" fillId="2" borderId="5" xfId="2" applyNumberFormat="1" applyFont="1" applyFill="1" applyBorder="1" applyAlignment="1" applyProtection="1">
      <alignment horizontal="right"/>
      <protection locked="0"/>
    </xf>
    <xf numFmtId="164" fontId="0" fillId="2" borderId="5" xfId="2" applyNumberFormat="1" applyFont="1" applyFill="1" applyBorder="1" applyProtection="1">
      <protection locked="0"/>
    </xf>
    <xf numFmtId="0" fontId="0" fillId="0" borderId="14" xfId="0" applyBorder="1"/>
    <xf numFmtId="0" fontId="16" fillId="0" borderId="0" xfId="0" applyFont="1" applyAlignment="1">
      <alignment horizontal="center"/>
    </xf>
    <xf numFmtId="0" fontId="16" fillId="0" borderId="0" xfId="0" applyFont="1"/>
    <xf numFmtId="43" fontId="16" fillId="0" borderId="0" xfId="1" applyFont="1" applyFill="1"/>
    <xf numFmtId="166" fontId="16" fillId="0" borderId="0" xfId="0" applyNumberFormat="1" applyFont="1"/>
    <xf numFmtId="168" fontId="16" fillId="0" borderId="0" xfId="3" applyNumberFormat="1" applyFont="1" applyFill="1"/>
    <xf numFmtId="166" fontId="16" fillId="0" borderId="0" xfId="1" applyNumberFormat="1" applyFont="1" applyFill="1"/>
    <xf numFmtId="37" fontId="16" fillId="0" borderId="0" xfId="1" applyNumberFormat="1" applyFont="1" applyFill="1"/>
    <xf numFmtId="167" fontId="12" fillId="0" borderId="0" xfId="1" applyNumberFormat="1" applyFont="1" applyFill="1" applyAlignment="1">
      <alignment horizontal="center"/>
    </xf>
    <xf numFmtId="168" fontId="12" fillId="0" borderId="0" xfId="3" applyNumberFormat="1" applyFont="1" applyFill="1" applyAlignment="1">
      <alignment horizontal="center"/>
    </xf>
    <xf numFmtId="43" fontId="12" fillId="0" borderId="0" xfId="1" applyFont="1" applyFill="1" applyAlignment="1">
      <alignment horizontal="center"/>
    </xf>
    <xf numFmtId="168" fontId="17" fillId="0" borderId="0" xfId="3" applyNumberFormat="1" applyFont="1" applyFill="1" applyBorder="1" applyAlignment="1">
      <alignment horizontal="center"/>
    </xf>
    <xf numFmtId="43" fontId="17" fillId="0" borderId="0" xfId="1" applyFont="1" applyFill="1" applyBorder="1" applyAlignment="1">
      <alignment horizontal="center"/>
    </xf>
    <xf numFmtId="167" fontId="17" fillId="0" borderId="0" xfId="1" applyNumberFormat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8" fillId="0" borderId="0" xfId="0" applyFont="1"/>
    <xf numFmtId="43" fontId="12" fillId="0" borderId="0" xfId="1" applyFont="1" applyFill="1"/>
    <xf numFmtId="166" fontId="12" fillId="0" borderId="0" xfId="0" applyNumberFormat="1" applyFont="1"/>
    <xf numFmtId="168" fontId="12" fillId="0" borderId="0" xfId="3" applyNumberFormat="1" applyFont="1" applyFill="1"/>
    <xf numFmtId="166" fontId="12" fillId="0" borderId="0" xfId="1" applyNumberFormat="1" applyFont="1" applyFill="1" applyAlignment="1">
      <alignment horizontal="center"/>
    </xf>
    <xf numFmtId="0" fontId="10" fillId="0" borderId="0" xfId="0" applyFont="1" applyAlignment="1">
      <alignment horizontal="center"/>
    </xf>
    <xf numFmtId="43" fontId="17" fillId="0" borderId="0" xfId="1" applyFont="1" applyFill="1" applyAlignment="1">
      <alignment horizontal="center"/>
    </xf>
    <xf numFmtId="166" fontId="17" fillId="0" borderId="0" xfId="1" applyNumberFormat="1" applyFont="1" applyFill="1" applyAlignment="1">
      <alignment horizontal="center"/>
    </xf>
    <xf numFmtId="166" fontId="12" fillId="0" borderId="0" xfId="1" applyNumberFormat="1" applyFont="1" applyFill="1"/>
    <xf numFmtId="166" fontId="12" fillId="0" borderId="0" xfId="0" applyNumberFormat="1" applyFont="1" applyAlignment="1">
      <alignment horizontal="right"/>
    </xf>
    <xf numFmtId="0" fontId="19" fillId="0" borderId="0" xfId="0" applyFont="1"/>
    <xf numFmtId="9" fontId="12" fillId="0" borderId="0" xfId="3" applyFont="1" applyFill="1" applyAlignment="1">
      <alignment horizontal="center"/>
    </xf>
    <xf numFmtId="37" fontId="12" fillId="0" borderId="0" xfId="1" applyNumberFormat="1" applyFont="1" applyFill="1"/>
    <xf numFmtId="1" fontId="19" fillId="0" borderId="0" xfId="0" applyNumberFormat="1" applyFont="1"/>
    <xf numFmtId="164" fontId="12" fillId="0" borderId="0" xfId="2" applyNumberFormat="1" applyFont="1" applyFill="1"/>
    <xf numFmtId="43" fontId="16" fillId="0" borderId="0" xfId="1" applyFont="1" applyFill="1" applyAlignment="1">
      <alignment horizontal="center"/>
    </xf>
    <xf numFmtId="167" fontId="20" fillId="0" borderId="0" xfId="1" applyNumberFormat="1" applyFont="1" applyFill="1" applyBorder="1" applyAlignment="1">
      <alignment horizontal="center"/>
    </xf>
    <xf numFmtId="43" fontId="20" fillId="0" borderId="0" xfId="1" applyFont="1" applyFill="1" applyAlignment="1">
      <alignment horizontal="center"/>
    </xf>
    <xf numFmtId="43" fontId="12" fillId="0" borderId="0" xfId="1" applyFont="1"/>
    <xf numFmtId="49" fontId="0" fillId="0" borderId="0" xfId="2" applyNumberFormat="1" applyFont="1"/>
    <xf numFmtId="49" fontId="0" fillId="0" borderId="0" xfId="2" quotePrefix="1" applyNumberFormat="1" applyFont="1" applyProtection="1"/>
    <xf numFmtId="0" fontId="2" fillId="0" borderId="3" xfId="0" applyFont="1" applyBorder="1" applyAlignment="1">
      <alignment horizontal="center"/>
    </xf>
    <xf numFmtId="0" fontId="13" fillId="3" borderId="6" xfId="0" applyFont="1" applyFill="1" applyBorder="1" applyAlignment="1">
      <alignment horizontal="left" wrapText="1"/>
    </xf>
    <xf numFmtId="0" fontId="13" fillId="3" borderId="7" xfId="0" applyFont="1" applyFill="1" applyBorder="1" applyAlignment="1">
      <alignment horizontal="left" wrapText="1"/>
    </xf>
    <xf numFmtId="0" fontId="13" fillId="3" borderId="8" xfId="0" applyFont="1" applyFill="1" applyBorder="1" applyAlignment="1">
      <alignment horizontal="left" wrapText="1"/>
    </xf>
    <xf numFmtId="0" fontId="13" fillId="3" borderId="9" xfId="0" applyFont="1" applyFill="1" applyBorder="1" applyAlignment="1">
      <alignment horizontal="left" wrapText="1"/>
    </xf>
    <xf numFmtId="0" fontId="13" fillId="3" borderId="0" xfId="0" applyFont="1" applyFill="1" applyAlignment="1">
      <alignment horizontal="left" wrapText="1"/>
    </xf>
    <xf numFmtId="0" fontId="13" fillId="3" borderId="10" xfId="0" applyFont="1" applyFill="1" applyBorder="1" applyAlignment="1">
      <alignment horizontal="left" wrapText="1"/>
    </xf>
    <xf numFmtId="0" fontId="13" fillId="3" borderId="11" xfId="0" applyFont="1" applyFill="1" applyBorder="1" applyAlignment="1">
      <alignment horizontal="left" wrapText="1"/>
    </xf>
    <xf numFmtId="0" fontId="13" fillId="3" borderId="12" xfId="0" applyFont="1" applyFill="1" applyBorder="1" applyAlignment="1">
      <alignment horizontal="left" wrapText="1"/>
    </xf>
    <xf numFmtId="0" fontId="13" fillId="3" borderId="13" xfId="0" applyFont="1" applyFill="1" applyBorder="1" applyAlignment="1">
      <alignment horizontal="left" wrapText="1"/>
    </xf>
    <xf numFmtId="0" fontId="13" fillId="0" borderId="6" xfId="0" applyFont="1" applyBorder="1" applyAlignment="1">
      <alignment horizontal="left" wrapText="1"/>
    </xf>
    <xf numFmtId="0" fontId="13" fillId="0" borderId="7" xfId="0" applyFont="1" applyBorder="1" applyAlignment="1">
      <alignment horizontal="left" wrapText="1"/>
    </xf>
    <xf numFmtId="0" fontId="13" fillId="0" borderId="8" xfId="0" applyFont="1" applyBorder="1" applyAlignment="1">
      <alignment horizontal="left" wrapText="1"/>
    </xf>
    <xf numFmtId="0" fontId="13" fillId="0" borderId="11" xfId="0" applyFont="1" applyBorder="1" applyAlignment="1">
      <alignment horizontal="left" wrapText="1"/>
    </xf>
    <xf numFmtId="0" fontId="13" fillId="0" borderId="12" xfId="0" applyFont="1" applyBorder="1" applyAlignment="1">
      <alignment horizontal="left" wrapText="1"/>
    </xf>
    <xf numFmtId="0" fontId="13" fillId="0" borderId="13" xfId="0" applyFont="1" applyBorder="1" applyAlignment="1">
      <alignment horizontal="left" wrapText="1"/>
    </xf>
    <xf numFmtId="0" fontId="15" fillId="0" borderId="15" xfId="0" applyFont="1" applyBorder="1" applyAlignment="1">
      <alignment horizontal="left" wrapText="1"/>
    </xf>
    <xf numFmtId="0" fontId="15" fillId="0" borderId="16" xfId="0" applyFont="1" applyBorder="1" applyAlignment="1">
      <alignment horizontal="left" wrapText="1"/>
    </xf>
    <xf numFmtId="0" fontId="15" fillId="0" borderId="17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13" fillId="3" borderId="6" xfId="0" applyFont="1" applyFill="1" applyBorder="1" applyAlignment="1">
      <alignment horizontal="left" vertical="top" wrapText="1"/>
    </xf>
    <xf numFmtId="0" fontId="13" fillId="3" borderId="7" xfId="0" applyFont="1" applyFill="1" applyBorder="1" applyAlignment="1">
      <alignment horizontal="left" vertical="top" wrapText="1"/>
    </xf>
    <xf numFmtId="0" fontId="13" fillId="3" borderId="8" xfId="0" applyFont="1" applyFill="1" applyBorder="1" applyAlignment="1">
      <alignment horizontal="left" vertical="top" wrapText="1"/>
    </xf>
    <xf numFmtId="0" fontId="13" fillId="3" borderId="11" xfId="0" applyFont="1" applyFill="1" applyBorder="1" applyAlignment="1">
      <alignment horizontal="left" vertical="top" wrapText="1"/>
    </xf>
    <xf numFmtId="0" fontId="13" fillId="3" borderId="12" xfId="0" applyFont="1" applyFill="1" applyBorder="1" applyAlignment="1">
      <alignment horizontal="left" vertical="top" wrapText="1"/>
    </xf>
    <xf numFmtId="0" fontId="13" fillId="3" borderId="13" xfId="0" applyFont="1" applyFill="1" applyBorder="1" applyAlignment="1">
      <alignment horizontal="left" vertical="top" wrapText="1"/>
    </xf>
    <xf numFmtId="0" fontId="0" fillId="0" borderId="3" xfId="0" applyBorder="1" applyAlignment="1">
      <alignment horizontal="center"/>
    </xf>
    <xf numFmtId="43" fontId="12" fillId="0" borderId="3" xfId="1" applyFont="1" applyFill="1" applyBorder="1" applyAlignment="1">
      <alignment horizontal="center"/>
    </xf>
    <xf numFmtId="0" fontId="12" fillId="0" borderId="3" xfId="0" applyFont="1" applyBorder="1" applyAlignment="1">
      <alignment horizontal="center"/>
    </xf>
    <xf numFmtId="43" fontId="7" fillId="0" borderId="3" xfId="1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43" fontId="7" fillId="0" borderId="3" xfId="1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56"/>
  <sheetViews>
    <sheetView tabSelected="1" zoomScaleNormal="100" workbookViewId="0">
      <selection activeCell="E9" sqref="E9"/>
    </sheetView>
  </sheetViews>
  <sheetFormatPr defaultRowHeight="15" x14ac:dyDescent="0.25"/>
  <cols>
    <col min="1" max="1" width="2.7109375" customWidth="1"/>
    <col min="5" max="5" width="15.7109375" customWidth="1"/>
    <col min="6" max="6" width="2.5703125" customWidth="1"/>
    <col min="7" max="7" width="17.85546875" customWidth="1"/>
    <col min="8" max="8" width="4" customWidth="1"/>
    <col min="9" max="9" width="17.85546875" customWidth="1"/>
    <col min="10" max="10" width="2.42578125" customWidth="1"/>
    <col min="11" max="11" width="22" bestFit="1" customWidth="1"/>
    <col min="12" max="12" width="4.5703125" customWidth="1"/>
    <col min="13" max="13" width="15.7109375" customWidth="1"/>
    <col min="14" max="14" width="3.42578125" customWidth="1"/>
    <col min="15" max="15" width="15.7109375" customWidth="1"/>
    <col min="16" max="16" width="13.5703125" customWidth="1"/>
    <col min="17" max="17" width="2.85546875" customWidth="1"/>
    <col min="18" max="18" width="15.28515625" customWidth="1"/>
    <col min="19" max="19" width="3.140625" customWidth="1"/>
    <col min="20" max="20" width="11.5703125" bestFit="1" customWidth="1"/>
    <col min="21" max="21" width="13" bestFit="1" customWidth="1"/>
    <col min="22" max="22" width="13.28515625" bestFit="1" customWidth="1"/>
  </cols>
  <sheetData>
    <row r="1" spans="1:22" ht="9.9499999999999993" customHeight="1" x14ac:dyDescent="0.25"/>
    <row r="2" spans="1:22" ht="18.75" x14ac:dyDescent="0.3">
      <c r="A2" s="1" t="s">
        <v>161</v>
      </c>
    </row>
    <row r="3" spans="1:22" ht="9.9499999999999993" customHeight="1" x14ac:dyDescent="0.3">
      <c r="A3" s="1"/>
    </row>
    <row r="4" spans="1:22" ht="18.75" customHeight="1" x14ac:dyDescent="0.25">
      <c r="A4" s="142" t="s">
        <v>203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4"/>
    </row>
    <row r="5" spans="1:22" ht="18.75" customHeight="1" x14ac:dyDescent="0.25">
      <c r="A5" s="145"/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7"/>
    </row>
    <row r="6" spans="1:22" ht="18.75" customHeight="1" x14ac:dyDescent="0.25">
      <c r="A6" s="148"/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50"/>
    </row>
    <row r="7" spans="1:22" ht="19.5" thickBot="1" x14ac:dyDescent="0.35">
      <c r="A7" s="1"/>
    </row>
    <row r="8" spans="1:22" ht="15.75" thickBot="1" x14ac:dyDescent="0.3">
      <c r="B8" t="s">
        <v>156</v>
      </c>
      <c r="C8" s="100"/>
      <c r="D8" s="10" t="e">
        <f>VLOOKUP($C$8,'MFPRSI Supplemental Info 2017'!$A$6:$Y$56,2,FALSE)</f>
        <v>#N/A</v>
      </c>
      <c r="V8" s="27"/>
    </row>
    <row r="9" spans="1:22" x14ac:dyDescent="0.25">
      <c r="A9" s="2" t="s">
        <v>0</v>
      </c>
      <c r="K9" s="3"/>
      <c r="L9" s="3"/>
      <c r="M9" s="3" t="s">
        <v>1</v>
      </c>
      <c r="N9" s="3"/>
      <c r="O9" s="3" t="s">
        <v>1</v>
      </c>
      <c r="R9" s="27"/>
    </row>
    <row r="10" spans="1:22" x14ac:dyDescent="0.25">
      <c r="K10" s="3"/>
      <c r="L10" s="3"/>
      <c r="M10" s="3" t="s">
        <v>2</v>
      </c>
      <c r="N10" s="3"/>
      <c r="O10" s="3" t="s">
        <v>3</v>
      </c>
    </row>
    <row r="11" spans="1:22" ht="15.75" thickBot="1" x14ac:dyDescent="0.3">
      <c r="K11" s="3" t="s">
        <v>4</v>
      </c>
      <c r="L11" s="3"/>
      <c r="M11" s="3" t="s">
        <v>5</v>
      </c>
      <c r="N11" s="3"/>
      <c r="O11" s="3" t="s">
        <v>5</v>
      </c>
    </row>
    <row r="12" spans="1:22" ht="15.75" thickBot="1" x14ac:dyDescent="0.3">
      <c r="B12" t="s">
        <v>204</v>
      </c>
      <c r="K12" s="72">
        <f>'MFPRSI Supplemental info 2024'!F57</f>
        <v>626199037</v>
      </c>
      <c r="L12" s="3"/>
      <c r="M12" s="4">
        <f>'MFPRSI Supplemental info 2023'!O57+'MFPRSI Supplemental info 2023'!P57+'MFPRSI Supplemental info 2023'!Q57</f>
        <v>328395014</v>
      </c>
      <c r="N12" s="3"/>
      <c r="O12" s="4">
        <f>-('MFPRSI Supplemental info 2023'!S57+'MFPRSI Supplemental info 2023'!T57+'MFPRSI Supplemental info 2023'!U57)</f>
        <v>237524708</v>
      </c>
    </row>
    <row r="13" spans="1:22" ht="15.75" thickBot="1" x14ac:dyDescent="0.3">
      <c r="G13" s="5" t="s">
        <v>6</v>
      </c>
      <c r="H13" s="5"/>
      <c r="I13" s="5" t="s">
        <v>7</v>
      </c>
      <c r="J13" s="5"/>
      <c r="K13" s="73" t="s">
        <v>77</v>
      </c>
      <c r="L13" s="3"/>
      <c r="M13" s="6"/>
      <c r="N13" s="3"/>
      <c r="O13" s="6"/>
    </row>
    <row r="14" spans="1:22" ht="15.75" thickBot="1" x14ac:dyDescent="0.3">
      <c r="B14" t="s">
        <v>8</v>
      </c>
      <c r="G14" s="71" t="e">
        <f>VLOOKUP($C$8,'MFPRSI Supplemental info 2024'!$A$6:$Y$56,3,FALSE)</f>
        <v>#N/A</v>
      </c>
      <c r="H14" s="3"/>
      <c r="I14" s="6" t="e">
        <f>ROUND(K12*G14,0)</f>
        <v>#N/A</v>
      </c>
      <c r="J14" s="7"/>
      <c r="K14" s="72" t="e">
        <f>VLOOKUP($C$8,'MFPRSI Supplemental info 2024'!$A$6:$Y$56,5,FALSE)</f>
        <v>#N/A</v>
      </c>
      <c r="L14" s="3"/>
      <c r="M14" s="4" t="e">
        <f>ROUND(M12*G14,0)</f>
        <v>#N/A</v>
      </c>
      <c r="N14" s="3"/>
      <c r="O14" s="4" t="e">
        <f>ROUND(G14*O12,0)</f>
        <v>#N/A</v>
      </c>
    </row>
    <row r="15" spans="1:22" ht="15.75" thickBot="1" x14ac:dyDescent="0.3">
      <c r="H15" s="3"/>
      <c r="K15" s="73"/>
      <c r="L15" s="3"/>
      <c r="M15" s="6"/>
      <c r="N15" s="3"/>
      <c r="O15" s="6"/>
    </row>
    <row r="16" spans="1:22" ht="15.75" thickBot="1" x14ac:dyDescent="0.3">
      <c r="B16" t="s">
        <v>9</v>
      </c>
      <c r="G16" s="71" t="e">
        <f>VLOOKUP($C$8,'MFPRSI Supplemental info 2024'!$A$6:$Y$56,4,FALSE)</f>
        <v>#N/A</v>
      </c>
      <c r="H16" s="3"/>
      <c r="I16" s="6" t="e">
        <f>ROUND(K12*G16,0)</f>
        <v>#N/A</v>
      </c>
      <c r="J16" s="7"/>
      <c r="K16" s="72" t="e">
        <f>VLOOKUP($C$8,'MFPRSI Supplemental info 2024'!$A$6:$Y$56,6,FALSE)</f>
        <v>#N/A</v>
      </c>
      <c r="L16" s="3"/>
      <c r="M16" s="4" t="e">
        <f>ROUND(M12*G16,0)</f>
        <v>#N/A</v>
      </c>
      <c r="N16" s="3"/>
      <c r="O16" s="4" t="e">
        <f>ROUND(O12*G16,0)</f>
        <v>#N/A</v>
      </c>
    </row>
    <row r="17" spans="1:17" x14ac:dyDescent="0.25">
      <c r="H17" s="5"/>
      <c r="K17" s="6"/>
      <c r="L17" s="3"/>
      <c r="M17" s="6"/>
      <c r="N17" s="3"/>
      <c r="O17" s="6"/>
    </row>
    <row r="18" spans="1:17" ht="15.75" thickBot="1" x14ac:dyDescent="0.3">
      <c r="B18" t="s">
        <v>10</v>
      </c>
      <c r="H18" s="5"/>
      <c r="K18" s="8" t="e">
        <f>K16-K14</f>
        <v>#N/A</v>
      </c>
      <c r="L18" s="3"/>
      <c r="M18" s="8" t="e">
        <f>M16-M14</f>
        <v>#N/A</v>
      </c>
      <c r="N18" s="3"/>
      <c r="O18" s="8" t="e">
        <f>O16-O14</f>
        <v>#N/A</v>
      </c>
    </row>
    <row r="19" spans="1:17" ht="18" thickTop="1" x14ac:dyDescent="0.4">
      <c r="H19" s="5"/>
      <c r="K19" s="6"/>
      <c r="L19" s="3"/>
      <c r="M19" s="6"/>
      <c r="N19" s="3"/>
      <c r="O19" s="9"/>
    </row>
    <row r="20" spans="1:17" ht="15.75" thickBot="1" x14ac:dyDescent="0.3">
      <c r="B20" s="10" t="s">
        <v>11</v>
      </c>
      <c r="K20" s="6"/>
      <c r="L20" s="6"/>
      <c r="M20" s="8" t="e">
        <f>M18-O18-K18</f>
        <v>#N/A</v>
      </c>
      <c r="N20" s="3"/>
      <c r="O20" s="6"/>
    </row>
    <row r="21" spans="1:17" ht="15.75" thickTop="1" x14ac:dyDescent="0.25">
      <c r="B21" s="10"/>
      <c r="K21" s="6"/>
      <c r="L21" s="6"/>
      <c r="M21" s="11"/>
      <c r="N21" s="11"/>
      <c r="O21" s="6"/>
    </row>
    <row r="22" spans="1:17" ht="9.9499999999999993" customHeight="1" x14ac:dyDescent="0.25">
      <c r="B22" t="s">
        <v>12</v>
      </c>
      <c r="I22" s="12"/>
    </row>
    <row r="23" spans="1:17" x14ac:dyDescent="0.25">
      <c r="A23" s="10" t="s">
        <v>13</v>
      </c>
      <c r="C23" s="10"/>
      <c r="D23" s="10"/>
      <c r="E23" s="10"/>
      <c r="F23" s="10"/>
      <c r="G23" s="10"/>
      <c r="H23" s="10"/>
      <c r="I23" s="10"/>
      <c r="J23" s="10"/>
    </row>
    <row r="24" spans="1:17" x14ac:dyDescent="0.25">
      <c r="B24" s="13" t="s">
        <v>14</v>
      </c>
      <c r="C24" s="13"/>
      <c r="D24" s="13"/>
      <c r="E24" s="13"/>
      <c r="F24" s="13"/>
      <c r="G24" s="10"/>
      <c r="H24" s="10"/>
      <c r="I24" s="10"/>
      <c r="J24" s="10"/>
      <c r="M24" s="6"/>
      <c r="N24" s="6"/>
    </row>
    <row r="25" spans="1:17" ht="15.75" thickBot="1" x14ac:dyDescent="0.3">
      <c r="B25" s="10"/>
      <c r="C25" s="10"/>
      <c r="D25" s="10"/>
      <c r="E25" s="10"/>
      <c r="F25" s="10"/>
      <c r="G25" s="10"/>
      <c r="H25" s="10"/>
      <c r="I25" s="10"/>
      <c r="J25" s="10"/>
      <c r="N25" s="6"/>
    </row>
    <row r="26" spans="1:17" ht="15.75" thickBot="1" x14ac:dyDescent="0.3">
      <c r="B26" t="s">
        <v>73</v>
      </c>
      <c r="M26" s="72">
        <f>'MFPRSI Supplemental info 2024'!H57</f>
        <v>86264861</v>
      </c>
      <c r="N26" s="14"/>
    </row>
    <row r="27" spans="1:17" x14ac:dyDescent="0.25">
      <c r="N27" s="14"/>
      <c r="P27" s="15"/>
      <c r="Q27" s="15"/>
    </row>
    <row r="28" spans="1:17" x14ac:dyDescent="0.25">
      <c r="B28" t="s">
        <v>15</v>
      </c>
      <c r="N28" s="14"/>
    </row>
    <row r="29" spans="1:17" x14ac:dyDescent="0.25">
      <c r="B29" t="s">
        <v>16</v>
      </c>
      <c r="D29" t="s">
        <v>17</v>
      </c>
      <c r="M29" s="16" t="e">
        <f>ROUND(M26*G16,0)</f>
        <v>#N/A</v>
      </c>
      <c r="N29" s="14"/>
    </row>
    <row r="30" spans="1:17" ht="15.75" thickBot="1" x14ac:dyDescent="0.3">
      <c r="N30" s="14"/>
    </row>
    <row r="31" spans="1:17" ht="15.75" thickBot="1" x14ac:dyDescent="0.3">
      <c r="B31" t="s">
        <v>74</v>
      </c>
      <c r="M31" s="72" t="e">
        <f>VLOOKUP($C$8,'MFPRSI Supplemental info 2024'!$A$6:$Y$56,9,FALSE)</f>
        <v>#N/A</v>
      </c>
      <c r="N31" s="14"/>
    </row>
    <row r="32" spans="1:17" x14ac:dyDescent="0.25">
      <c r="N32" s="6"/>
    </row>
    <row r="33" spans="1:19" ht="15.75" thickBot="1" x14ac:dyDescent="0.3">
      <c r="B33" t="s">
        <v>18</v>
      </c>
      <c r="M33" s="8" t="e">
        <f>M29-M31</f>
        <v>#N/A</v>
      </c>
      <c r="N33" s="6"/>
    </row>
    <row r="34" spans="1:19" ht="15.75" thickTop="1" x14ac:dyDescent="0.25">
      <c r="N34" s="6"/>
    </row>
    <row r="35" spans="1:19" x14ac:dyDescent="0.25">
      <c r="N35" s="6"/>
    </row>
    <row r="36" spans="1:19" x14ac:dyDescent="0.25">
      <c r="A36" s="2" t="s">
        <v>19</v>
      </c>
      <c r="K36" s="141" t="s">
        <v>20</v>
      </c>
      <c r="L36" s="141"/>
      <c r="M36" s="141"/>
      <c r="N36" s="6"/>
      <c r="P36" s="13" t="s">
        <v>21</v>
      </c>
      <c r="Q36" s="13"/>
      <c r="R36" s="17"/>
    </row>
    <row r="37" spans="1:19" x14ac:dyDescent="0.25">
      <c r="K37" s="18">
        <v>45107</v>
      </c>
      <c r="L37" s="18"/>
      <c r="M37" s="18">
        <v>45473</v>
      </c>
      <c r="N37" s="6"/>
    </row>
    <row r="38" spans="1:19" x14ac:dyDescent="0.25">
      <c r="K38" s="20" t="e">
        <f>G14</f>
        <v>#N/A</v>
      </c>
      <c r="L38" s="19"/>
      <c r="M38" s="20" t="e">
        <f>G16</f>
        <v>#N/A</v>
      </c>
      <c r="N38" s="6"/>
      <c r="P38" s="5" t="s">
        <v>22</v>
      </c>
      <c r="Q38" s="5"/>
      <c r="R38" s="5" t="s">
        <v>23</v>
      </c>
    </row>
    <row r="39" spans="1:19" x14ac:dyDescent="0.25">
      <c r="K39" s="21" t="s">
        <v>24</v>
      </c>
      <c r="L39" s="21"/>
      <c r="M39" s="21" t="s">
        <v>25</v>
      </c>
      <c r="N39" s="6"/>
      <c r="P39" s="22" t="s">
        <v>26</v>
      </c>
      <c r="Q39" s="22"/>
      <c r="R39" s="22" t="s">
        <v>26</v>
      </c>
    </row>
    <row r="40" spans="1:19" ht="15.75" thickBot="1" x14ac:dyDescent="0.3">
      <c r="A40" s="7" t="s">
        <v>27</v>
      </c>
      <c r="M40" s="5"/>
      <c r="N40" s="6"/>
      <c r="O40" s="5"/>
    </row>
    <row r="41" spans="1:19" ht="15.75" thickBot="1" x14ac:dyDescent="0.3">
      <c r="B41" t="s">
        <v>28</v>
      </c>
      <c r="K41" s="6" t="e">
        <f>ROUND(K38*'MFPRSI Supplemental info 2023'!O57,0)</f>
        <v>#N/A</v>
      </c>
      <c r="M41" s="72" t="e">
        <f>VLOOKUP($C$8,'MFPRSI Supplemental info 2024'!$A$6:$Y$56,15,FALSE)</f>
        <v>#N/A</v>
      </c>
      <c r="N41" s="14"/>
      <c r="P41" s="6" t="e">
        <f>IF(M41-K41&gt;0,M41-K41,0)</f>
        <v>#N/A</v>
      </c>
      <c r="Q41" s="14"/>
      <c r="R41" s="6" t="e">
        <f>IF(M41-K41&lt;0,K41-M41,0)</f>
        <v>#N/A</v>
      </c>
    </row>
    <row r="42" spans="1:19" ht="15.75" thickBot="1" x14ac:dyDescent="0.3">
      <c r="B42" t="s">
        <v>29</v>
      </c>
      <c r="K42" s="6" t="e">
        <f>ROUND(K38*'MFPRSI Supplemental info 2023'!P57,0)</f>
        <v>#N/A</v>
      </c>
      <c r="M42" s="72" t="e">
        <f>VLOOKUP($C$8,'MFPRSI Supplemental info 2024'!$A$6:$Y$56,16,FALSE)</f>
        <v>#N/A</v>
      </c>
      <c r="N42" s="14"/>
      <c r="P42" s="6" t="e">
        <f t="shared" ref="P42" si="0">IF(M42-K42&gt;0,M42-K42,0)</f>
        <v>#N/A</v>
      </c>
      <c r="Q42" s="23"/>
      <c r="R42" s="6" t="e">
        <f t="shared" ref="R42:R43" si="1">IF(M42-K42&lt;0,K42-M42,0)</f>
        <v>#N/A</v>
      </c>
    </row>
    <row r="43" spans="1:19" ht="15.75" thickBot="1" x14ac:dyDescent="0.3">
      <c r="B43" t="s">
        <v>67</v>
      </c>
      <c r="K43" s="6" t="e">
        <f>ROUND(K38*'MFPRSI Supplemental info 2023'!Q57,0)</f>
        <v>#N/A</v>
      </c>
      <c r="M43" s="72" t="e">
        <f>VLOOKUP($C$8,'MFPRSI Supplemental info 2024'!$A$6:$Y$56,17,FALSE)</f>
        <v>#N/A</v>
      </c>
      <c r="N43" s="14"/>
      <c r="P43" s="6" t="e">
        <f>IF(M43-K43&gt;0,M43-K43,0)</f>
        <v>#N/A</v>
      </c>
      <c r="Q43" s="23"/>
      <c r="R43" s="6" t="e">
        <f t="shared" si="1"/>
        <v>#N/A</v>
      </c>
    </row>
    <row r="44" spans="1:19" ht="15.75" thickBot="1" x14ac:dyDescent="0.3">
      <c r="A44" s="7" t="s">
        <v>30</v>
      </c>
      <c r="N44" s="14"/>
      <c r="P44" s="6"/>
      <c r="Q44" s="6"/>
      <c r="R44" s="6"/>
    </row>
    <row r="45" spans="1:19" ht="15.75" thickBot="1" x14ac:dyDescent="0.3">
      <c r="A45" s="7"/>
      <c r="B45" t="s">
        <v>28</v>
      </c>
      <c r="K45" s="6" t="e">
        <f>-ROUND(K38*'MFPRSI Supplemental info 2023'!S57,0)</f>
        <v>#N/A</v>
      </c>
      <c r="M45" s="72" t="e">
        <f>-VLOOKUP($C$8,'MFPRSI Supplemental info 2024'!$A$6:$Y$56,19,FALSE)</f>
        <v>#N/A</v>
      </c>
      <c r="N45" s="14"/>
      <c r="P45" s="6" t="e">
        <f>IF(M45-K45&lt;0,K45-M45,0)</f>
        <v>#N/A</v>
      </c>
      <c r="Q45" s="6"/>
      <c r="R45" s="6" t="e">
        <f>IF(M45-K45&gt;0,M45-K45,0)</f>
        <v>#N/A</v>
      </c>
      <c r="S45" s="3"/>
    </row>
    <row r="46" spans="1:19" ht="15.75" thickBot="1" x14ac:dyDescent="0.3">
      <c r="A46" s="7"/>
      <c r="B46" t="s">
        <v>29</v>
      </c>
      <c r="K46" s="6" t="e">
        <f>-ROUND(K38*'MFPRSI Supplemental info 2023'!T57,0)</f>
        <v>#N/A</v>
      </c>
      <c r="M46" s="72" t="e">
        <f>-VLOOKUP($C$8,'MFPRSI Supplemental info 2024'!$A$6:$Y$56,20,FALSE)</f>
        <v>#N/A</v>
      </c>
      <c r="N46" s="14"/>
      <c r="P46" s="6" t="e">
        <f t="shared" ref="P46:P47" si="2">IF(M46-K46&lt;0,K46-M46,0)</f>
        <v>#N/A</v>
      </c>
      <c r="Q46" s="6"/>
      <c r="R46" s="6" t="e">
        <f>IF(M46-K46&gt;0,M46-K46,0)</f>
        <v>#N/A</v>
      </c>
      <c r="S46" s="3"/>
    </row>
    <row r="47" spans="1:19" ht="15.75" thickBot="1" x14ac:dyDescent="0.3">
      <c r="B47" t="s">
        <v>31</v>
      </c>
      <c r="K47" s="6" t="e">
        <f>-ROUND(K38*'MFPRSI Supplemental info 2023'!U57,0)</f>
        <v>#N/A</v>
      </c>
      <c r="M47" s="72" t="e">
        <f>-VLOOKUP($C$8,'MFPRSI Supplemental info 2024'!$A$6:$Y$56,21,FALSE)</f>
        <v>#N/A</v>
      </c>
      <c r="N47" s="14"/>
      <c r="P47" s="6" t="e">
        <f t="shared" si="2"/>
        <v>#N/A</v>
      </c>
      <c r="Q47" s="6"/>
      <c r="R47" s="6" t="e">
        <f>IF(M47-K47&gt;0,M47-K47,0)</f>
        <v>#N/A</v>
      </c>
      <c r="S47" s="3"/>
    </row>
    <row r="48" spans="1:19" ht="15.75" thickBot="1" x14ac:dyDescent="0.3">
      <c r="M48" s="15"/>
      <c r="N48" s="14"/>
      <c r="P48" s="6"/>
      <c r="Q48" s="6"/>
      <c r="R48" s="6"/>
    </row>
    <row r="49" spans="1:22" ht="15.75" thickBot="1" x14ac:dyDescent="0.3">
      <c r="B49" t="s">
        <v>32</v>
      </c>
      <c r="K49" s="6" t="e">
        <f>K14</f>
        <v>#N/A</v>
      </c>
      <c r="L49" s="6"/>
      <c r="M49" s="72" t="e">
        <f>VLOOKUP($C$8,'MFPRSI Supplemental info 2024'!$A$6:$Y$56,23,FALSE)</f>
        <v>#N/A</v>
      </c>
      <c r="N49" s="14"/>
      <c r="P49" s="6" t="e">
        <f t="shared" ref="P49" si="3">IF(M49-K49&lt;0,K49-M49,0)</f>
        <v>#N/A</v>
      </c>
      <c r="Q49" s="6"/>
      <c r="R49" s="6" t="e">
        <f>IF(M49-K49&gt;0,M49-K49,0)</f>
        <v>#N/A</v>
      </c>
      <c r="S49" s="3"/>
      <c r="U49" s="27" t="e">
        <f>P43-R49</f>
        <v>#N/A</v>
      </c>
    </row>
    <row r="50" spans="1:22" ht="15.75" thickBot="1" x14ac:dyDescent="0.3">
      <c r="M50" t="s">
        <v>76</v>
      </c>
      <c r="N50" s="14"/>
      <c r="P50" s="6"/>
      <c r="Q50" s="6"/>
      <c r="R50" s="6"/>
    </row>
    <row r="51" spans="1:22" ht="15.75" thickBot="1" x14ac:dyDescent="0.3">
      <c r="B51" t="s">
        <v>34</v>
      </c>
      <c r="E51" s="72">
        <f>'MFPRSI Supplemental info 2024'!Y57</f>
        <v>95428280</v>
      </c>
      <c r="F51" s="10" t="s">
        <v>35</v>
      </c>
      <c r="G51" s="5" t="s">
        <v>36</v>
      </c>
      <c r="K51" s="24" t="e">
        <f>G16</f>
        <v>#N/A</v>
      </c>
      <c r="L51" s="25"/>
      <c r="M51" s="26" t="e">
        <f>ROUND(E51*K51,0)</f>
        <v>#N/A</v>
      </c>
      <c r="N51" s="14"/>
      <c r="P51" s="6"/>
      <c r="Q51" s="6"/>
      <c r="R51" s="6"/>
    </row>
    <row r="52" spans="1:22" x14ac:dyDescent="0.25">
      <c r="K52" t="s">
        <v>37</v>
      </c>
      <c r="M52" s="5" t="s">
        <v>7</v>
      </c>
      <c r="N52" s="14"/>
      <c r="P52" s="27"/>
      <c r="R52" s="27"/>
      <c r="T52" s="27"/>
    </row>
    <row r="53" spans="1:22" ht="15.75" thickBot="1" x14ac:dyDescent="0.3">
      <c r="N53" s="14"/>
    </row>
    <row r="54" spans="1:22" ht="15.75" thickBot="1" x14ac:dyDescent="0.3">
      <c r="K54" t="s">
        <v>77</v>
      </c>
      <c r="M54" s="72" t="e">
        <f>VLOOKUP($C$8,'MFPRSI Supplemental info 2024'!$A$6:$Y$56,25,FALSE)</f>
        <v>#N/A</v>
      </c>
      <c r="N54" s="14"/>
    </row>
    <row r="55" spans="1:22" x14ac:dyDescent="0.25">
      <c r="N55" s="6"/>
    </row>
    <row r="56" spans="1:22" x14ac:dyDescent="0.25">
      <c r="N56" s="6"/>
    </row>
    <row r="57" spans="1:22" x14ac:dyDescent="0.25">
      <c r="N57" s="6"/>
    </row>
    <row r="58" spans="1:22" x14ac:dyDescent="0.25">
      <c r="N58" s="6"/>
    </row>
    <row r="59" spans="1:22" x14ac:dyDescent="0.25">
      <c r="A59" s="2" t="s">
        <v>38</v>
      </c>
      <c r="N59" s="6"/>
    </row>
    <row r="60" spans="1:22" x14ac:dyDescent="0.25">
      <c r="K60" s="141" t="s">
        <v>20</v>
      </c>
      <c r="L60" s="141"/>
      <c r="M60" s="141"/>
      <c r="N60" s="6"/>
      <c r="P60" s="13" t="s">
        <v>21</v>
      </c>
      <c r="Q60" s="13"/>
      <c r="R60" s="17"/>
    </row>
    <row r="61" spans="1:22" x14ac:dyDescent="0.25">
      <c r="K61" s="18">
        <f>$K$37</f>
        <v>45107</v>
      </c>
      <c r="L61" s="18"/>
      <c r="M61" s="18">
        <f>$M$37</f>
        <v>45473</v>
      </c>
      <c r="N61" s="6"/>
    </row>
    <row r="62" spans="1:22" x14ac:dyDescent="0.25">
      <c r="I62" s="10" t="s">
        <v>39</v>
      </c>
      <c r="K62" s="20" t="e">
        <f>G14</f>
        <v>#N/A</v>
      </c>
      <c r="L62" s="20"/>
      <c r="M62" s="20" t="e">
        <f>M38</f>
        <v>#N/A</v>
      </c>
      <c r="N62" s="6"/>
      <c r="P62" s="5" t="s">
        <v>22</v>
      </c>
      <c r="Q62" s="5"/>
      <c r="R62" s="5" t="s">
        <v>23</v>
      </c>
      <c r="V62" s="84"/>
    </row>
    <row r="63" spans="1:22" x14ac:dyDescent="0.25">
      <c r="I63" s="13" t="s">
        <v>205</v>
      </c>
      <c r="K63" s="21" t="s">
        <v>24</v>
      </c>
      <c r="L63" s="21"/>
      <c r="M63" s="21" t="s">
        <v>25</v>
      </c>
      <c r="N63" s="6"/>
      <c r="P63" s="22" t="s">
        <v>26</v>
      </c>
      <c r="Q63" s="22"/>
      <c r="R63" s="22" t="s">
        <v>26</v>
      </c>
      <c r="V63" s="12"/>
    </row>
    <row r="64" spans="1:22" x14ac:dyDescent="0.25">
      <c r="N64" s="6"/>
    </row>
    <row r="65" spans="1:18" x14ac:dyDescent="0.25">
      <c r="B65" t="s">
        <v>40</v>
      </c>
      <c r="I65" s="6">
        <f>M12</f>
        <v>328395014</v>
      </c>
      <c r="K65" s="27" t="e">
        <f>I65*K62</f>
        <v>#N/A</v>
      </c>
      <c r="L65" s="27"/>
      <c r="M65" s="27" t="e">
        <f>I65*M62</f>
        <v>#N/A</v>
      </c>
      <c r="N65" s="6"/>
      <c r="P65" s="11" t="e">
        <f>IF(M65-K65&gt;0,M65-K65,0)</f>
        <v>#N/A</v>
      </c>
      <c r="Q65" s="28"/>
      <c r="R65" s="11" t="e">
        <f>IF(M65-K65&lt;0,K65-M65,0)</f>
        <v>#N/A</v>
      </c>
    </row>
    <row r="66" spans="1:18" x14ac:dyDescent="0.25">
      <c r="I66" s="6"/>
      <c r="K66" s="27"/>
      <c r="L66" s="27"/>
      <c r="M66" s="27"/>
      <c r="N66" s="6"/>
      <c r="P66" s="28"/>
      <c r="Q66" s="28"/>
    </row>
    <row r="67" spans="1:18" x14ac:dyDescent="0.25">
      <c r="B67" t="s">
        <v>41</v>
      </c>
      <c r="I67" s="6">
        <f>O12</f>
        <v>237524708</v>
      </c>
      <c r="K67" s="27" t="e">
        <f>I67*K62</f>
        <v>#N/A</v>
      </c>
      <c r="L67" s="27"/>
      <c r="M67" s="27" t="e">
        <f>I67*M62</f>
        <v>#N/A</v>
      </c>
      <c r="N67" s="6"/>
      <c r="P67" s="11" t="e">
        <f>IF(M67-K67&lt;0,K67-M67,0)</f>
        <v>#N/A</v>
      </c>
      <c r="Q67" s="28"/>
      <c r="R67" s="11" t="e">
        <f>IF(M67-K67&gt;0,M67-K67,0)</f>
        <v>#N/A</v>
      </c>
    </row>
    <row r="68" spans="1:18" x14ac:dyDescent="0.25">
      <c r="K68" s="27"/>
      <c r="L68" s="27"/>
      <c r="M68" s="27"/>
      <c r="N68" s="6"/>
      <c r="P68" s="28"/>
      <c r="Q68" s="28"/>
    </row>
    <row r="69" spans="1:18" x14ac:dyDescent="0.25">
      <c r="B69" t="s">
        <v>32</v>
      </c>
      <c r="I69" s="27">
        <f>K12</f>
        <v>626199037</v>
      </c>
      <c r="K69" s="27" t="e">
        <f>K14</f>
        <v>#N/A</v>
      </c>
      <c r="L69" s="27"/>
      <c r="M69" s="27" t="e">
        <f>I69*M62</f>
        <v>#N/A</v>
      </c>
      <c r="N69" s="6"/>
      <c r="P69" s="31" t="e">
        <f>IF(M69-K69&lt;0,K69-M69,0)</f>
        <v>#N/A</v>
      </c>
      <c r="Q69" s="70"/>
      <c r="R69" s="31" t="e">
        <f>IF(M69-K69&gt;0,M69-K69,0)</f>
        <v>#N/A</v>
      </c>
    </row>
    <row r="70" spans="1:18" x14ac:dyDescent="0.25">
      <c r="N70" s="6"/>
    </row>
    <row r="71" spans="1:18" x14ac:dyDescent="0.25">
      <c r="C71" t="s">
        <v>42</v>
      </c>
      <c r="N71" s="6"/>
      <c r="P71" s="11" t="e">
        <f>SUM(P65:P69)</f>
        <v>#N/A</v>
      </c>
      <c r="Q71" s="11"/>
      <c r="R71" s="11" t="e">
        <f>SUM(R65:R69)</f>
        <v>#N/A</v>
      </c>
    </row>
    <row r="73" spans="1:18" x14ac:dyDescent="0.25">
      <c r="C73" t="s">
        <v>43</v>
      </c>
      <c r="P73" s="30" t="e">
        <f>IF(+R71-P71&gt;0,+R71-P71,0)</f>
        <v>#N/A</v>
      </c>
      <c r="Q73" s="30"/>
      <c r="R73" s="6" t="e">
        <f>IF(+R71-P71&lt;0,+P71-R71,0)</f>
        <v>#N/A</v>
      </c>
    </row>
    <row r="74" spans="1:18" x14ac:dyDescent="0.25">
      <c r="C74" t="s">
        <v>44</v>
      </c>
      <c r="P74" s="31"/>
      <c r="Q74" s="31"/>
      <c r="R74" s="31"/>
    </row>
    <row r="75" spans="1:18" x14ac:dyDescent="0.25">
      <c r="P75" s="6"/>
      <c r="Q75" s="6"/>
      <c r="R75" s="6"/>
    </row>
    <row r="76" spans="1:18" ht="15.75" thickBot="1" x14ac:dyDescent="0.3">
      <c r="C76" t="s">
        <v>45</v>
      </c>
      <c r="P76" s="26" t="e">
        <f>P71+P73</f>
        <v>#N/A</v>
      </c>
      <c r="Q76" s="26"/>
      <c r="R76" s="26" t="e">
        <f>R71+R73</f>
        <v>#N/A</v>
      </c>
    </row>
    <row r="77" spans="1:18" ht="15.75" thickTop="1" x14ac:dyDescent="0.25"/>
    <row r="78" spans="1:18" x14ac:dyDescent="0.25">
      <c r="K78" s="3" t="s">
        <v>46</v>
      </c>
      <c r="L78" s="3"/>
    </row>
    <row r="79" spans="1:18" x14ac:dyDescent="0.25">
      <c r="A79" s="2" t="s">
        <v>47</v>
      </c>
      <c r="K79" s="3" t="s">
        <v>206</v>
      </c>
      <c r="L79" s="3"/>
      <c r="M79" s="3" t="s">
        <v>48</v>
      </c>
      <c r="N79" s="3"/>
    </row>
    <row r="80" spans="1:18" x14ac:dyDescent="0.25">
      <c r="K80" s="32" t="e">
        <f>M38</f>
        <v>#N/A</v>
      </c>
      <c r="L80" s="32"/>
      <c r="M80" s="3" t="s">
        <v>49</v>
      </c>
      <c r="N80" s="3"/>
      <c r="P80" s="3" t="s">
        <v>50</v>
      </c>
      <c r="Q80" s="3"/>
    </row>
    <row r="81" spans="1:17" ht="15.75" thickBot="1" x14ac:dyDescent="0.3">
      <c r="I81" s="13" t="s">
        <v>51</v>
      </c>
      <c r="K81" s="21" t="s">
        <v>24</v>
      </c>
      <c r="L81" s="21"/>
      <c r="M81" s="21" t="s">
        <v>25</v>
      </c>
      <c r="N81" s="3"/>
      <c r="P81" s="21" t="s">
        <v>26</v>
      </c>
      <c r="Q81" s="3"/>
    </row>
    <row r="82" spans="1:17" ht="15.75" thickBot="1" x14ac:dyDescent="0.3">
      <c r="B82" t="s">
        <v>75</v>
      </c>
      <c r="I82" s="72">
        <f>M26</f>
        <v>86264861</v>
      </c>
      <c r="K82" s="27" t="e">
        <f>I82*K80</f>
        <v>#N/A</v>
      </c>
      <c r="L82" s="27"/>
      <c r="M82" s="72" t="e">
        <f>M31</f>
        <v>#N/A</v>
      </c>
      <c r="N82" s="3"/>
      <c r="P82" s="27" t="e">
        <f>M82-K82</f>
        <v>#N/A</v>
      </c>
      <c r="Q82" s="27"/>
    </row>
    <row r="86" spans="1:17" x14ac:dyDescent="0.25">
      <c r="A86" s="10" t="s">
        <v>52</v>
      </c>
      <c r="B86" s="10"/>
      <c r="C86" s="10"/>
      <c r="D86" s="10"/>
      <c r="E86" s="10"/>
      <c r="F86" s="10"/>
      <c r="G86" s="10"/>
      <c r="H86" s="10"/>
      <c r="I86" s="3" t="s">
        <v>27</v>
      </c>
      <c r="J86" s="3"/>
      <c r="K86" s="3" t="s">
        <v>193</v>
      </c>
      <c r="L86" s="3"/>
      <c r="M86" s="3" t="s">
        <v>53</v>
      </c>
      <c r="N86" s="3"/>
    </row>
    <row r="87" spans="1:17" x14ac:dyDescent="0.25">
      <c r="A87" s="10" t="s">
        <v>12</v>
      </c>
      <c r="B87" s="2" t="s">
        <v>54</v>
      </c>
      <c r="C87" s="10"/>
      <c r="D87" s="10"/>
      <c r="E87" s="10"/>
      <c r="F87" s="10"/>
      <c r="G87" s="10"/>
      <c r="H87" s="10"/>
      <c r="I87" s="21" t="s">
        <v>55</v>
      </c>
      <c r="J87" s="21"/>
      <c r="K87" s="21" t="s">
        <v>194</v>
      </c>
      <c r="L87" s="21"/>
      <c r="M87" s="21" t="s">
        <v>56</v>
      </c>
      <c r="N87" s="3"/>
    </row>
    <row r="90" spans="1:17" x14ac:dyDescent="0.25">
      <c r="B90" t="s">
        <v>57</v>
      </c>
      <c r="I90" s="16" t="e">
        <f>K90-M90</f>
        <v>#N/A</v>
      </c>
      <c r="J90" s="16"/>
      <c r="K90" s="16" t="e">
        <f>P73-R73</f>
        <v>#N/A</v>
      </c>
      <c r="L90" s="16"/>
      <c r="M90" s="81" t="e">
        <f>IF(P73&gt;0,P73/I98,-R73/I98)</f>
        <v>#N/A</v>
      </c>
      <c r="N90" s="16"/>
    </row>
    <row r="91" spans="1:17" x14ac:dyDescent="0.25">
      <c r="I91" s="16"/>
      <c r="J91" s="16"/>
      <c r="K91" s="16"/>
      <c r="L91" s="16"/>
    </row>
    <row r="92" spans="1:17" x14ac:dyDescent="0.25">
      <c r="B92" t="s">
        <v>58</v>
      </c>
      <c r="I92" s="29" t="e">
        <f>P82-M92</f>
        <v>#N/A</v>
      </c>
      <c r="J92" s="29"/>
      <c r="K92" s="29" t="e">
        <f>P82</f>
        <v>#N/A</v>
      </c>
      <c r="L92" s="29"/>
      <c r="M92" s="29" t="e">
        <f>P82/I98</f>
        <v>#N/A</v>
      </c>
      <c r="N92" s="33"/>
    </row>
    <row r="93" spans="1:17" x14ac:dyDescent="0.25">
      <c r="I93" s="16"/>
      <c r="J93" s="16"/>
      <c r="K93" s="16"/>
      <c r="L93" s="16"/>
    </row>
    <row r="94" spans="1:17" ht="15.75" thickBot="1" x14ac:dyDescent="0.3">
      <c r="C94" t="s">
        <v>59</v>
      </c>
      <c r="I94" s="34" t="e">
        <f>+I90+I92</f>
        <v>#N/A</v>
      </c>
      <c r="J94" s="35"/>
      <c r="K94" s="34" t="e">
        <f>K90+K92</f>
        <v>#N/A</v>
      </c>
      <c r="L94" s="34"/>
      <c r="M94" s="34" t="e">
        <f>M90+M92</f>
        <v>#N/A</v>
      </c>
      <c r="N94" s="36"/>
    </row>
    <row r="95" spans="1:17" ht="15.75" thickTop="1" x14ac:dyDescent="0.25">
      <c r="I95" s="28"/>
      <c r="K95" s="28"/>
      <c r="L95" s="28"/>
      <c r="M95" s="28"/>
      <c r="N95" s="28"/>
    </row>
    <row r="96" spans="1:17" x14ac:dyDescent="0.25">
      <c r="I96" s="37"/>
      <c r="K96" s="28"/>
      <c r="L96" s="28"/>
      <c r="M96" s="37"/>
      <c r="N96" s="37"/>
    </row>
    <row r="97" spans="1:20" ht="15.75" thickBot="1" x14ac:dyDescent="0.3">
      <c r="I97" s="28"/>
      <c r="K97" s="28"/>
      <c r="L97" s="28"/>
      <c r="M97" s="28"/>
      <c r="N97" s="28"/>
    </row>
    <row r="98" spans="1:20" ht="15.75" thickBot="1" x14ac:dyDescent="0.3">
      <c r="B98" t="s">
        <v>60</v>
      </c>
      <c r="I98" s="74">
        <f>'MFPRSI Supplemental info 2024'!U59</f>
        <v>5.0999999999999996</v>
      </c>
      <c r="K98" s="28" t="s">
        <v>61</v>
      </c>
      <c r="L98" s="28"/>
      <c r="M98" s="28"/>
      <c r="N98" s="28"/>
    </row>
    <row r="99" spans="1:20" x14ac:dyDescent="0.25">
      <c r="I99" s="28"/>
      <c r="K99" s="28"/>
      <c r="L99" s="28"/>
      <c r="M99" s="28"/>
      <c r="N99" s="28"/>
    </row>
    <row r="100" spans="1:20" x14ac:dyDescent="0.25">
      <c r="I100" s="28"/>
      <c r="K100" s="28"/>
      <c r="L100" s="28"/>
      <c r="M100" s="28"/>
      <c r="N100" s="28"/>
    </row>
    <row r="101" spans="1:20" x14ac:dyDescent="0.25">
      <c r="I101" s="28"/>
      <c r="K101" s="28"/>
      <c r="L101" s="28"/>
      <c r="M101" s="28"/>
      <c r="N101" s="28"/>
    </row>
    <row r="102" spans="1:20" x14ac:dyDescent="0.25">
      <c r="I102" s="28"/>
      <c r="K102" s="28"/>
      <c r="L102" s="28"/>
      <c r="M102" s="28"/>
      <c r="N102" s="28"/>
    </row>
    <row r="105" spans="1:20" s="2" customFormat="1" x14ac:dyDescent="0.25">
      <c r="A105" s="2" t="s">
        <v>207</v>
      </c>
    </row>
    <row r="107" spans="1:20" ht="15.75" thickBot="1" x14ac:dyDescent="0.3">
      <c r="I107" s="38" t="s">
        <v>62</v>
      </c>
      <c r="J107" s="10"/>
      <c r="K107" s="38" t="s">
        <v>63</v>
      </c>
      <c r="L107" s="39"/>
      <c r="O107" s="5"/>
      <c r="P107" s="5"/>
      <c r="Q107" s="5"/>
      <c r="R107" s="5"/>
      <c r="S107" s="5"/>
      <c r="T107" s="5"/>
    </row>
    <row r="108" spans="1:20" ht="15.75" thickTop="1" x14ac:dyDescent="0.25">
      <c r="A108" t="s">
        <v>27</v>
      </c>
      <c r="I108" s="39"/>
      <c r="J108" s="10"/>
      <c r="K108" s="39"/>
      <c r="L108" s="39"/>
    </row>
    <row r="109" spans="1:20" x14ac:dyDescent="0.25">
      <c r="B109" t="s">
        <v>28</v>
      </c>
      <c r="I109" s="6" t="e">
        <f>P41</f>
        <v>#N/A</v>
      </c>
      <c r="J109" s="23"/>
      <c r="K109" s="6" t="e">
        <f t="shared" ref="K109:K111" si="4">R41</f>
        <v>#N/A</v>
      </c>
      <c r="L109" s="15"/>
    </row>
    <row r="110" spans="1:20" x14ac:dyDescent="0.25">
      <c r="B110" t="s">
        <v>29</v>
      </c>
      <c r="I110" s="40" t="e">
        <f>+P42</f>
        <v>#N/A</v>
      </c>
      <c r="J110" s="3"/>
      <c r="K110" s="40" t="e">
        <f t="shared" si="4"/>
        <v>#N/A</v>
      </c>
    </row>
    <row r="111" spans="1:20" x14ac:dyDescent="0.25">
      <c r="B111" t="s">
        <v>67</v>
      </c>
      <c r="I111" s="40" t="e">
        <f>+P43</f>
        <v>#N/A</v>
      </c>
      <c r="J111" s="3"/>
      <c r="K111" s="40" t="e">
        <f t="shared" si="4"/>
        <v>#N/A</v>
      </c>
      <c r="M111" t="s">
        <v>197</v>
      </c>
    </row>
    <row r="112" spans="1:20" x14ac:dyDescent="0.25">
      <c r="B112" t="s">
        <v>199</v>
      </c>
      <c r="I112" s="40" t="e">
        <f>IF(I94&gt;0,I94,0)</f>
        <v>#N/A</v>
      </c>
      <c r="J112" s="3"/>
      <c r="K112" s="40">
        <v>0</v>
      </c>
    </row>
    <row r="113" spans="1:20" x14ac:dyDescent="0.25">
      <c r="A113" t="s">
        <v>64</v>
      </c>
      <c r="I113" s="40"/>
      <c r="J113" s="3"/>
    </row>
    <row r="114" spans="1:20" x14ac:dyDescent="0.25">
      <c r="B114" t="s">
        <v>65</v>
      </c>
      <c r="I114" s="16" t="e">
        <f>M54</f>
        <v>#N/A</v>
      </c>
      <c r="J114" s="41"/>
      <c r="K114" s="16"/>
      <c r="L114" s="16"/>
      <c r="O114" s="16"/>
      <c r="P114" s="16"/>
      <c r="Q114" s="16"/>
      <c r="R114" s="16"/>
      <c r="S114" s="16"/>
      <c r="T114" s="16"/>
    </row>
    <row r="115" spans="1:20" x14ac:dyDescent="0.25">
      <c r="B115" t="s">
        <v>66</v>
      </c>
      <c r="I115" s="16" t="e">
        <f>IF(M94&gt;0,M94,0)</f>
        <v>#N/A</v>
      </c>
      <c r="J115" s="41"/>
      <c r="K115" s="16" t="e">
        <f>IF(M94&lt;0,-M94,0)</f>
        <v>#N/A</v>
      </c>
      <c r="L115" s="16"/>
    </row>
    <row r="116" spans="1:20" x14ac:dyDescent="0.25">
      <c r="B116" s="83" t="s">
        <v>72</v>
      </c>
      <c r="C116" s="83"/>
      <c r="I116" s="101"/>
      <c r="J116" s="102"/>
      <c r="K116" s="101"/>
      <c r="L116" s="16"/>
    </row>
    <row r="117" spans="1:20" x14ac:dyDescent="0.25">
      <c r="A117" t="s">
        <v>30</v>
      </c>
      <c r="I117" s="16"/>
      <c r="J117" s="41"/>
      <c r="K117" s="16"/>
      <c r="L117" s="16"/>
    </row>
    <row r="118" spans="1:20" x14ac:dyDescent="0.25">
      <c r="B118" t="s">
        <v>28</v>
      </c>
      <c r="I118" s="16" t="e">
        <f>P45</f>
        <v>#N/A</v>
      </c>
      <c r="J118" s="41"/>
      <c r="K118" s="16" t="e">
        <f>R45</f>
        <v>#N/A</v>
      </c>
      <c r="L118" s="41"/>
    </row>
    <row r="119" spans="1:20" x14ac:dyDescent="0.25">
      <c r="B119" t="s">
        <v>29</v>
      </c>
      <c r="I119" s="16" t="e">
        <f>P46</f>
        <v>#N/A</v>
      </c>
      <c r="J119" s="41"/>
      <c r="K119" s="16" t="e">
        <f>R46</f>
        <v>#N/A</v>
      </c>
      <c r="L119" s="41"/>
    </row>
    <row r="120" spans="1:20" x14ac:dyDescent="0.25">
      <c r="B120" t="s">
        <v>67</v>
      </c>
      <c r="I120" s="16" t="e">
        <f>P47</f>
        <v>#N/A</v>
      </c>
      <c r="J120" s="16"/>
      <c r="K120" s="16" t="e">
        <f>R47</f>
        <v>#N/A</v>
      </c>
      <c r="L120" s="41"/>
      <c r="M120" t="s">
        <v>197</v>
      </c>
    </row>
    <row r="121" spans="1:20" x14ac:dyDescent="0.25">
      <c r="B121" t="s">
        <v>198</v>
      </c>
      <c r="I121" s="40">
        <v>0</v>
      </c>
      <c r="J121" s="3"/>
      <c r="K121" s="16" t="e">
        <f>IF(I94&lt;0,-I94,0)</f>
        <v>#N/A</v>
      </c>
    </row>
    <row r="122" spans="1:20" x14ac:dyDescent="0.25">
      <c r="B122" t="s">
        <v>68</v>
      </c>
      <c r="I122" s="16"/>
      <c r="J122" s="16"/>
      <c r="K122" s="16"/>
      <c r="L122" s="16"/>
    </row>
    <row r="123" spans="1:20" x14ac:dyDescent="0.25">
      <c r="B123" t="s">
        <v>208</v>
      </c>
      <c r="I123" s="16">
        <f>K31</f>
        <v>0</v>
      </c>
      <c r="J123" s="16"/>
      <c r="K123" s="16" t="e">
        <f>M31</f>
        <v>#N/A</v>
      </c>
      <c r="L123" s="41"/>
    </row>
    <row r="124" spans="1:20" x14ac:dyDescent="0.25">
      <c r="I124" s="16"/>
      <c r="J124" s="16"/>
      <c r="K124" s="16"/>
      <c r="L124" s="16"/>
    </row>
    <row r="125" spans="1:20" x14ac:dyDescent="0.25">
      <c r="B125" t="s">
        <v>32</v>
      </c>
      <c r="I125" s="16" t="e">
        <f>P49</f>
        <v>#N/A</v>
      </c>
      <c r="J125" s="41" t="s">
        <v>33</v>
      </c>
      <c r="K125" s="16" t="e">
        <f>R49</f>
        <v>#N/A</v>
      </c>
      <c r="L125" s="16"/>
    </row>
    <row r="126" spans="1:20" ht="15.75" thickBot="1" x14ac:dyDescent="0.3">
      <c r="E126" t="s">
        <v>69</v>
      </c>
      <c r="I126" s="42" t="e">
        <f>SUM(I109:I125)</f>
        <v>#N/A</v>
      </c>
      <c r="J126" s="43"/>
      <c r="K126" s="42" t="e">
        <f>SUM(K109:K125)</f>
        <v>#N/A</v>
      </c>
      <c r="L126" s="27"/>
    </row>
    <row r="127" spans="1:20" ht="15.75" thickTop="1" x14ac:dyDescent="0.25"/>
    <row r="128" spans="1:20" ht="15.75" thickBot="1" x14ac:dyDescent="0.3">
      <c r="G128" t="s">
        <v>70</v>
      </c>
      <c r="K128" s="26" t="e">
        <f>I126-K126</f>
        <v>#N/A</v>
      </c>
      <c r="L128" s="11"/>
      <c r="M128" s="12"/>
    </row>
    <row r="129" spans="1:15" ht="15.75" thickTop="1" x14ac:dyDescent="0.25"/>
    <row r="130" spans="1:15" x14ac:dyDescent="0.25">
      <c r="B130" t="s">
        <v>209</v>
      </c>
    </row>
    <row r="131" spans="1:15" x14ac:dyDescent="0.25">
      <c r="B131" t="s">
        <v>210</v>
      </c>
    </row>
    <row r="133" spans="1:15" x14ac:dyDescent="0.25">
      <c r="A133" s="2" t="s">
        <v>211</v>
      </c>
    </row>
    <row r="134" spans="1:15" ht="18.75" customHeight="1" x14ac:dyDescent="0.25">
      <c r="A134" s="151" t="s">
        <v>162</v>
      </c>
      <c r="B134" s="152"/>
      <c r="C134" s="152"/>
      <c r="D134" s="152"/>
      <c r="E134" s="152"/>
      <c r="F134" s="152"/>
      <c r="G134" s="152"/>
      <c r="H134" s="152"/>
      <c r="I134" s="152"/>
      <c r="J134" s="152"/>
      <c r="K134" s="152"/>
      <c r="L134" s="152"/>
      <c r="M134" s="152"/>
      <c r="N134" s="152"/>
      <c r="O134" s="153"/>
    </row>
    <row r="135" spans="1:15" ht="18.75" customHeight="1" x14ac:dyDescent="0.25">
      <c r="A135" s="154"/>
      <c r="B135" s="155"/>
      <c r="C135" s="155"/>
      <c r="D135" s="155"/>
      <c r="E135" s="155"/>
      <c r="F135" s="155"/>
      <c r="G135" s="155"/>
      <c r="H135" s="155"/>
      <c r="I135" s="155"/>
      <c r="J135" s="155"/>
      <c r="K135" s="155"/>
      <c r="L135" s="155"/>
      <c r="M135" s="155"/>
      <c r="N135" s="155"/>
      <c r="O135" s="156"/>
    </row>
    <row r="137" spans="1:15" x14ac:dyDescent="0.25">
      <c r="B137" t="s">
        <v>71</v>
      </c>
      <c r="I137" s="103"/>
      <c r="J137" s="45"/>
      <c r="K137" s="45"/>
      <c r="L137" s="45"/>
    </row>
    <row r="138" spans="1:15" x14ac:dyDescent="0.25">
      <c r="I138" s="45"/>
      <c r="J138" s="45"/>
      <c r="K138" s="45"/>
      <c r="L138" s="45"/>
    </row>
    <row r="139" spans="1:15" x14ac:dyDescent="0.25">
      <c r="B139" t="s">
        <v>56</v>
      </c>
      <c r="I139" s="45"/>
      <c r="J139" s="45"/>
      <c r="K139" s="103"/>
      <c r="L139" s="44"/>
    </row>
    <row r="141" spans="1:15" x14ac:dyDescent="0.25">
      <c r="B141" t="s">
        <v>212</v>
      </c>
    </row>
    <row r="142" spans="1:15" x14ac:dyDescent="0.25">
      <c r="B142" t="s">
        <v>213</v>
      </c>
    </row>
    <row r="145" spans="1:15" x14ac:dyDescent="0.25">
      <c r="A145" t="s">
        <v>191</v>
      </c>
      <c r="I145" s="16" t="e">
        <f>IF(Amort!N33-Amort!N29-Amort!N20+Amort!N17&gt;0,Amort!N33-Amort!N29-Amort!N20+Amort!N17,0)</f>
        <v>#N/A</v>
      </c>
      <c r="J145" s="16"/>
      <c r="K145" s="16" t="e">
        <f>IF(Amort!N20-Amort!N17-Amort!N33+Amort!N29&gt;0,Amort!N20-Amort!N17-Amort!N33+Amort!N29,0)</f>
        <v>#N/A</v>
      </c>
    </row>
    <row r="146" spans="1:15" x14ac:dyDescent="0.25">
      <c r="I146" s="16"/>
      <c r="J146" s="16"/>
      <c r="K146" s="16"/>
    </row>
    <row r="147" spans="1:15" x14ac:dyDescent="0.25">
      <c r="B147" t="s">
        <v>56</v>
      </c>
      <c r="I147" s="16" t="e">
        <f>K145</f>
        <v>#N/A</v>
      </c>
      <c r="J147" s="16"/>
      <c r="K147" s="16" t="e">
        <f>I145</f>
        <v>#N/A</v>
      </c>
    </row>
    <row r="149" spans="1:15" x14ac:dyDescent="0.25">
      <c r="B149" t="s">
        <v>190</v>
      </c>
    </row>
    <row r="150" spans="1:15" x14ac:dyDescent="0.25">
      <c r="B150" t="s">
        <v>214</v>
      </c>
    </row>
    <row r="152" spans="1:15" ht="30.75" customHeight="1" x14ac:dyDescent="0.25">
      <c r="A152" s="157" t="s">
        <v>201</v>
      </c>
      <c r="B152" s="158"/>
      <c r="C152" s="158"/>
      <c r="D152" s="158"/>
      <c r="E152" s="158"/>
      <c r="F152" s="158"/>
      <c r="G152" s="158"/>
      <c r="H152" s="158"/>
      <c r="I152" s="158"/>
      <c r="J152" s="158"/>
      <c r="K152" s="158"/>
      <c r="L152" s="158"/>
      <c r="M152" s="158"/>
      <c r="N152" s="158"/>
      <c r="O152" s="159"/>
    </row>
    <row r="154" spans="1:15" x14ac:dyDescent="0.25">
      <c r="A154" t="s">
        <v>200</v>
      </c>
      <c r="I154" s="103"/>
      <c r="J154" s="45"/>
      <c r="K154" s="45"/>
    </row>
    <row r="155" spans="1:15" x14ac:dyDescent="0.25">
      <c r="I155" s="45"/>
      <c r="J155" s="45"/>
      <c r="K155" s="45"/>
    </row>
    <row r="156" spans="1:15" x14ac:dyDescent="0.25">
      <c r="B156" t="s">
        <v>202</v>
      </c>
      <c r="I156" s="45"/>
      <c r="J156" s="45"/>
      <c r="K156" s="103"/>
    </row>
  </sheetData>
  <mergeCells count="5">
    <mergeCell ref="K36:M36"/>
    <mergeCell ref="K60:M60"/>
    <mergeCell ref="A4:O6"/>
    <mergeCell ref="A134:O135"/>
    <mergeCell ref="A152:O152"/>
  </mergeCells>
  <pageMargins left="0.51" right="0.25" top="0.75" bottom="0.25" header="0.3" footer="0.5"/>
  <pageSetup scale="65" orientation="landscape" r:id="rId1"/>
  <rowBreaks count="2" manualBreakCount="2">
    <brk id="54" max="19" man="1"/>
    <brk id="101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61"/>
  <sheetViews>
    <sheetView zoomScaleNormal="100" workbookViewId="0">
      <pane xSplit="2" ySplit="6" topLeftCell="C37" activePane="bottomRight" state="frozen"/>
      <selection pane="topRight" activeCell="C1" sqref="C1"/>
      <selection pane="bottomLeft" activeCell="A7" sqref="A7"/>
      <selection pane="bottomRight" activeCell="J12" sqref="J12"/>
    </sheetView>
  </sheetViews>
  <sheetFormatPr defaultRowHeight="15" x14ac:dyDescent="0.25"/>
  <cols>
    <col min="1" max="1" width="3.5703125" style="46" bestFit="1" customWidth="1"/>
    <col min="2" max="2" width="15" style="50" bestFit="1" customWidth="1"/>
    <col min="3" max="3" width="10.7109375" style="85" bestFit="1" customWidth="1"/>
    <col min="4" max="4" width="10.7109375" style="90" bestFit="1" customWidth="1"/>
    <col min="5" max="5" width="11.140625" style="90" bestFit="1" customWidth="1"/>
    <col min="6" max="6" width="10.7109375" style="90" bestFit="1" customWidth="1"/>
    <col min="7" max="7" width="9.7109375" style="90" bestFit="1" customWidth="1"/>
    <col min="8" max="9" width="9.85546875" style="90" bestFit="1" customWidth="1"/>
    <col min="10" max="10" width="11.140625" style="90" customWidth="1"/>
    <col min="11" max="11" width="8.7109375" style="50" bestFit="1" customWidth="1"/>
    <col min="12" max="12" width="9.28515625" style="50" bestFit="1" customWidth="1"/>
    <col min="13" max="13" width="9.7109375" style="50" bestFit="1" customWidth="1"/>
    <col min="14" max="14" width="0.85546875" style="50" customWidth="1"/>
    <col min="15" max="15" width="10.7109375" style="50" bestFit="1" customWidth="1"/>
    <col min="16" max="16" width="12.42578125" style="51" bestFit="1" customWidth="1"/>
    <col min="17" max="17" width="10.7109375" style="50" customWidth="1"/>
    <col min="18" max="18" width="2.28515625" style="50" customWidth="1"/>
    <col min="19" max="19" width="10.7109375" style="50" bestFit="1" customWidth="1"/>
    <col min="20" max="20" width="11.7109375" style="50" customWidth="1"/>
    <col min="21" max="21" width="12.7109375" style="50" bestFit="1" customWidth="1"/>
    <col min="22" max="22" width="2.28515625" style="50" customWidth="1"/>
    <col min="23" max="23" width="12.7109375" style="50" bestFit="1" customWidth="1"/>
    <col min="24" max="24" width="2.28515625" style="50" customWidth="1"/>
    <col min="25" max="25" width="11.140625" style="50" bestFit="1" customWidth="1"/>
    <col min="27" max="27" width="11.28515625" bestFit="1" customWidth="1"/>
  </cols>
  <sheetData>
    <row r="1" spans="1:27" x14ac:dyDescent="0.25">
      <c r="C1" s="47" t="s">
        <v>157</v>
      </c>
      <c r="O1" s="47" t="s">
        <v>158</v>
      </c>
    </row>
    <row r="3" spans="1:27" x14ac:dyDescent="0.25">
      <c r="H3" s="91" t="s">
        <v>78</v>
      </c>
      <c r="K3" s="170" t="s">
        <v>79</v>
      </c>
      <c r="L3" s="170"/>
      <c r="M3" s="170"/>
      <c r="O3" s="171" t="s">
        <v>27</v>
      </c>
      <c r="P3" s="171"/>
      <c r="Q3" s="171"/>
      <c r="S3" s="171" t="s">
        <v>30</v>
      </c>
      <c r="T3" s="171"/>
      <c r="U3" s="171"/>
    </row>
    <row r="4" spans="1:27" x14ac:dyDescent="0.25">
      <c r="C4" s="86">
        <v>42551</v>
      </c>
      <c r="D4" s="86">
        <v>42916</v>
      </c>
      <c r="E4" s="86">
        <v>42551</v>
      </c>
      <c r="G4" s="91" t="s">
        <v>80</v>
      </c>
      <c r="H4" s="91" t="s">
        <v>49</v>
      </c>
      <c r="I4" s="91" t="s">
        <v>49</v>
      </c>
      <c r="J4" s="91" t="s">
        <v>81</v>
      </c>
      <c r="O4" s="91" t="s">
        <v>82</v>
      </c>
      <c r="Q4" s="91" t="s">
        <v>83</v>
      </c>
      <c r="R4" s="91"/>
      <c r="S4" s="91" t="s">
        <v>82</v>
      </c>
      <c r="U4" s="91" t="s">
        <v>83</v>
      </c>
      <c r="V4" s="91"/>
      <c r="W4" s="91" t="s">
        <v>159</v>
      </c>
      <c r="X4" s="91"/>
      <c r="Y4" s="46" t="s">
        <v>84</v>
      </c>
    </row>
    <row r="5" spans="1:27" x14ac:dyDescent="0.25">
      <c r="A5" s="46" t="s">
        <v>154</v>
      </c>
      <c r="C5" s="87" t="s">
        <v>85</v>
      </c>
      <c r="D5" s="87" t="s">
        <v>85</v>
      </c>
      <c r="E5" s="91" t="s">
        <v>86</v>
      </c>
      <c r="F5" s="91" t="s">
        <v>87</v>
      </c>
      <c r="G5" s="91" t="s">
        <v>85</v>
      </c>
      <c r="H5" s="91" t="s">
        <v>88</v>
      </c>
      <c r="I5" s="91" t="s">
        <v>88</v>
      </c>
      <c r="J5" s="91" t="s">
        <v>89</v>
      </c>
      <c r="K5" s="91" t="s">
        <v>90</v>
      </c>
      <c r="L5" s="46" t="s">
        <v>91</v>
      </c>
      <c r="M5" s="46" t="s">
        <v>91</v>
      </c>
      <c r="O5" s="46" t="s">
        <v>92</v>
      </c>
      <c r="P5" s="97" t="s">
        <v>160</v>
      </c>
      <c r="Q5" s="46" t="s">
        <v>92</v>
      </c>
      <c r="R5" s="46"/>
      <c r="S5" s="46" t="s">
        <v>92</v>
      </c>
      <c r="T5" s="91" t="s">
        <v>160</v>
      </c>
      <c r="U5" s="46" t="s">
        <v>92</v>
      </c>
      <c r="V5" s="46"/>
      <c r="W5" s="91" t="s">
        <v>87</v>
      </c>
      <c r="X5" s="91"/>
      <c r="Y5" s="46" t="s">
        <v>90</v>
      </c>
    </row>
    <row r="6" spans="1:27" ht="20.100000000000001" customHeight="1" x14ac:dyDescent="0.35">
      <c r="A6" s="53" t="s">
        <v>155</v>
      </c>
      <c r="B6" s="57" t="s">
        <v>93</v>
      </c>
      <c r="C6" s="88" t="s">
        <v>94</v>
      </c>
      <c r="D6" s="88" t="s">
        <v>94</v>
      </c>
      <c r="E6" s="92" t="s">
        <v>95</v>
      </c>
      <c r="F6" s="95">
        <v>42551</v>
      </c>
      <c r="G6" s="92" t="s">
        <v>96</v>
      </c>
      <c r="H6" s="92" t="s">
        <v>97</v>
      </c>
      <c r="I6" s="92" t="s">
        <v>97</v>
      </c>
      <c r="J6" s="92" t="s">
        <v>98</v>
      </c>
      <c r="K6" s="92" t="s">
        <v>56</v>
      </c>
      <c r="L6" s="92" t="s">
        <v>99</v>
      </c>
      <c r="M6" s="96" t="s">
        <v>100</v>
      </c>
      <c r="O6" s="96" t="s">
        <v>101</v>
      </c>
      <c r="P6" s="98" t="s">
        <v>102</v>
      </c>
      <c r="Q6" s="96" t="s">
        <v>103</v>
      </c>
      <c r="R6" s="96"/>
      <c r="S6" s="96" t="s">
        <v>101</v>
      </c>
      <c r="T6" s="96" t="s">
        <v>102</v>
      </c>
      <c r="U6" s="96" t="s">
        <v>103</v>
      </c>
      <c r="V6" s="96"/>
      <c r="W6" s="95">
        <v>42916</v>
      </c>
      <c r="X6" s="95"/>
      <c r="Y6" s="96" t="s">
        <v>56</v>
      </c>
    </row>
    <row r="7" spans="1:27" ht="20.100000000000001" customHeight="1" x14ac:dyDescent="0.25">
      <c r="A7" s="46">
        <v>101</v>
      </c>
      <c r="B7" s="63" t="s">
        <v>104</v>
      </c>
      <c r="C7" s="85">
        <f>'MFPRSI Supplemental Info 2016'!D7</f>
        <v>2.6499450000000001E-2</v>
      </c>
      <c r="D7" s="85">
        <v>2.6513100000000001E-2</v>
      </c>
      <c r="E7" s="93">
        <f>'MFPRSI Supplemental Info 2016'!W7</f>
        <v>16569071</v>
      </c>
      <c r="F7" s="93">
        <f>ROUND($E$57*D7,0)</f>
        <v>16577606</v>
      </c>
      <c r="G7" s="93">
        <f>F7-E7</f>
        <v>8535</v>
      </c>
      <c r="H7" s="93">
        <f>ROUND(D7*$U$60,0)</f>
        <v>1946358</v>
      </c>
      <c r="I7" s="93">
        <f>H7</f>
        <v>1946358</v>
      </c>
      <c r="J7" s="93">
        <f>H7-I7</f>
        <v>0</v>
      </c>
      <c r="K7" s="51">
        <f>ROUND((G7+J7)/$U$59,0)</f>
        <v>1581</v>
      </c>
      <c r="L7" s="66">
        <f>IF(K7&lt;0,0,G7+J7-K7)</f>
        <v>6954</v>
      </c>
      <c r="M7" s="51">
        <f>IF(G7&lt;0,(G7+J7-K7),0)</f>
        <v>0</v>
      </c>
      <c r="O7" s="51">
        <v>596706</v>
      </c>
      <c r="P7" s="93">
        <v>1321353</v>
      </c>
      <c r="Q7" s="51">
        <v>3761030</v>
      </c>
      <c r="S7" s="93">
        <v>-9461</v>
      </c>
      <c r="T7" s="51">
        <v>-176609</v>
      </c>
      <c r="U7" s="93">
        <v>-3123916</v>
      </c>
      <c r="W7" s="93">
        <v>15549272</v>
      </c>
      <c r="X7" s="93"/>
      <c r="Y7" s="93">
        <v>2365546</v>
      </c>
      <c r="AA7" s="40"/>
    </row>
    <row r="8" spans="1:27" ht="20.100000000000001" customHeight="1" x14ac:dyDescent="0.25">
      <c r="A8" s="46">
        <v>102</v>
      </c>
      <c r="B8" s="63" t="s">
        <v>105</v>
      </c>
      <c r="C8" s="85">
        <f>'MFPRSI Supplemental Info 2016'!D8</f>
        <v>1.871985E-2</v>
      </c>
      <c r="D8" s="85">
        <v>1.9639009999999998E-2</v>
      </c>
      <c r="E8" s="93">
        <f>'MFPRSI Supplemental Info 2016'!W8</f>
        <v>11704791</v>
      </c>
      <c r="F8" s="93">
        <f t="shared" ref="F8:F54" si="0">ROUND($E$57*D8,0)</f>
        <v>12279506</v>
      </c>
      <c r="G8" s="93">
        <f t="shared" ref="G8:G55" si="1">F8-E8</f>
        <v>574715</v>
      </c>
      <c r="H8" s="93">
        <f t="shared" ref="H8:H55" si="2">ROUND(D8*$U$60,0)</f>
        <v>1441723</v>
      </c>
      <c r="I8" s="93">
        <f t="shared" ref="I8:I55" si="3">H8</f>
        <v>1441723</v>
      </c>
      <c r="J8" s="93">
        <f t="shared" ref="J8:J55" si="4">H8-I8</f>
        <v>0</v>
      </c>
      <c r="K8" s="51">
        <f t="shared" ref="K8:K55" si="5">ROUND((G8+J8)/$U$59,0)</f>
        <v>106429</v>
      </c>
      <c r="L8" s="51">
        <f t="shared" ref="L8:L55" si="6">IF(K8&lt;0,0,G8+J8-K8)</f>
        <v>468286</v>
      </c>
      <c r="M8" s="51">
        <f t="shared" ref="M8:M55" si="7">IF(G8&lt;0,(G8+J8-K8),0)</f>
        <v>0</v>
      </c>
      <c r="O8" s="51">
        <v>441997</v>
      </c>
      <c r="P8" s="93">
        <v>978764</v>
      </c>
      <c r="Q8" s="51">
        <v>2785902</v>
      </c>
      <c r="S8" s="93">
        <v>-7008</v>
      </c>
      <c r="T8" s="51">
        <v>-130819</v>
      </c>
      <c r="U8" s="93">
        <v>-2313974</v>
      </c>
      <c r="W8" s="93">
        <v>11517790</v>
      </c>
      <c r="X8" s="93"/>
      <c r="Y8" s="93">
        <v>1752227</v>
      </c>
      <c r="AA8" s="40"/>
    </row>
    <row r="9" spans="1:27" ht="20.100000000000001" customHeight="1" x14ac:dyDescent="0.25">
      <c r="A9" s="46">
        <v>103</v>
      </c>
      <c r="B9" s="63" t="s">
        <v>106</v>
      </c>
      <c r="C9" s="85">
        <f>'MFPRSI Supplemental Info 2016'!D9</f>
        <v>1.8706150000000001E-2</v>
      </c>
      <c r="D9" s="85">
        <v>1.896859E-2</v>
      </c>
      <c r="E9" s="93">
        <f>'MFPRSI Supplemental Info 2016'!W9</f>
        <v>11696225</v>
      </c>
      <c r="F9" s="93">
        <f t="shared" si="0"/>
        <v>11860318</v>
      </c>
      <c r="G9" s="93">
        <f t="shared" si="1"/>
        <v>164093</v>
      </c>
      <c r="H9" s="93">
        <f t="shared" si="2"/>
        <v>1392506</v>
      </c>
      <c r="I9" s="93">
        <f t="shared" si="3"/>
        <v>1392506</v>
      </c>
      <c r="J9" s="93">
        <f t="shared" si="4"/>
        <v>0</v>
      </c>
      <c r="K9" s="51">
        <f t="shared" si="5"/>
        <v>30388</v>
      </c>
      <c r="L9" s="51">
        <f t="shared" si="6"/>
        <v>133705</v>
      </c>
      <c r="M9" s="51">
        <f t="shared" si="7"/>
        <v>0</v>
      </c>
      <c r="O9" s="51">
        <v>426908</v>
      </c>
      <c r="P9" s="93">
        <v>945352</v>
      </c>
      <c r="Q9" s="51">
        <v>2690799</v>
      </c>
      <c r="S9" s="93">
        <v>-6769</v>
      </c>
      <c r="T9" s="51">
        <v>-126353</v>
      </c>
      <c r="U9" s="93">
        <v>-2234981</v>
      </c>
      <c r="W9" s="93">
        <v>11124605</v>
      </c>
      <c r="X9" s="93"/>
      <c r="Y9" s="93">
        <v>1692411</v>
      </c>
      <c r="AA9" s="40"/>
    </row>
    <row r="10" spans="1:27" ht="20.100000000000001" customHeight="1" x14ac:dyDescent="0.25">
      <c r="A10" s="46">
        <v>104</v>
      </c>
      <c r="B10" s="63" t="s">
        <v>107</v>
      </c>
      <c r="C10" s="85">
        <f>'MFPRSI Supplemental Info 2016'!D10</f>
        <v>5.8720899999999999E-3</v>
      </c>
      <c r="D10" s="85">
        <v>5.7559500000000001E-3</v>
      </c>
      <c r="E10" s="93">
        <f>'MFPRSI Supplemental Info 2016'!W10</f>
        <v>3671588</v>
      </c>
      <c r="F10" s="93">
        <f t="shared" si="0"/>
        <v>3598971</v>
      </c>
      <c r="G10" s="93">
        <f t="shared" si="1"/>
        <v>-72617</v>
      </c>
      <c r="H10" s="93">
        <f t="shared" si="2"/>
        <v>422551</v>
      </c>
      <c r="I10" s="93">
        <f t="shared" si="3"/>
        <v>422551</v>
      </c>
      <c r="J10" s="93">
        <f t="shared" si="4"/>
        <v>0</v>
      </c>
      <c r="K10" s="51">
        <f t="shared" si="5"/>
        <v>-13448</v>
      </c>
      <c r="L10" s="51">
        <f t="shared" si="6"/>
        <v>0</v>
      </c>
      <c r="M10" s="51">
        <f t="shared" si="7"/>
        <v>-59169</v>
      </c>
      <c r="O10" s="51">
        <v>129544</v>
      </c>
      <c r="P10" s="93">
        <v>286864</v>
      </c>
      <c r="Q10" s="51">
        <v>816513</v>
      </c>
      <c r="S10" s="93">
        <v>-2054</v>
      </c>
      <c r="T10" s="51">
        <v>-38341</v>
      </c>
      <c r="U10" s="93">
        <v>-678197</v>
      </c>
      <c r="W10" s="93">
        <v>3375721</v>
      </c>
      <c r="X10" s="93"/>
      <c r="Y10" s="93">
        <v>513556</v>
      </c>
      <c r="AA10" s="40"/>
    </row>
    <row r="11" spans="1:27" ht="20.100000000000001" customHeight="1" x14ac:dyDescent="0.25">
      <c r="A11" s="46">
        <v>105</v>
      </c>
      <c r="B11" s="63" t="s">
        <v>108</v>
      </c>
      <c r="C11" s="85">
        <f>'MFPRSI Supplemental Info 2016'!D11</f>
        <v>1.8023230000000001E-2</v>
      </c>
      <c r="D11" s="85">
        <v>1.844703E-2</v>
      </c>
      <c r="E11" s="93">
        <f>'MFPRSI Supplemental Info 2016'!W11</f>
        <v>11269222</v>
      </c>
      <c r="F11" s="93">
        <f t="shared" si="0"/>
        <v>11534207</v>
      </c>
      <c r="G11" s="93">
        <f t="shared" si="1"/>
        <v>264985</v>
      </c>
      <c r="H11" s="93">
        <f t="shared" si="2"/>
        <v>1354218</v>
      </c>
      <c r="I11" s="93">
        <f t="shared" si="3"/>
        <v>1354218</v>
      </c>
      <c r="J11" s="93">
        <f t="shared" si="4"/>
        <v>0</v>
      </c>
      <c r="K11" s="51">
        <f t="shared" si="5"/>
        <v>49071</v>
      </c>
      <c r="L11" s="51">
        <f t="shared" si="6"/>
        <v>215914</v>
      </c>
      <c r="M11" s="51">
        <f t="shared" si="7"/>
        <v>0</v>
      </c>
      <c r="O11" s="51">
        <v>415170</v>
      </c>
      <c r="P11" s="93">
        <v>919358</v>
      </c>
      <c r="Q11" s="51">
        <v>2616813</v>
      </c>
      <c r="S11" s="93">
        <v>-6583</v>
      </c>
      <c r="T11" s="51">
        <v>-122879</v>
      </c>
      <c r="U11" s="93">
        <v>-2173528</v>
      </c>
      <c r="W11" s="93">
        <v>10818723</v>
      </c>
      <c r="X11" s="93"/>
      <c r="Y11" s="93">
        <v>1645877</v>
      </c>
      <c r="AA11" s="40"/>
    </row>
    <row r="12" spans="1:27" ht="20.100000000000001" customHeight="1" x14ac:dyDescent="0.25">
      <c r="A12" s="46">
        <v>106</v>
      </c>
      <c r="B12" s="63" t="s">
        <v>109</v>
      </c>
      <c r="C12" s="85">
        <f>'MFPRSI Supplemental Info 2016'!D12</f>
        <v>2.43648E-3</v>
      </c>
      <c r="D12" s="85">
        <v>2.1197799999999999E-3</v>
      </c>
      <c r="E12" s="93">
        <f>'MFPRSI Supplemental Info 2016'!W12</f>
        <v>1523436</v>
      </c>
      <c r="F12" s="93">
        <f t="shared" si="0"/>
        <v>1325416</v>
      </c>
      <c r="G12" s="93">
        <f t="shared" si="1"/>
        <v>-198020</v>
      </c>
      <c r="H12" s="93">
        <f t="shared" si="2"/>
        <v>155616</v>
      </c>
      <c r="I12" s="93">
        <f t="shared" si="3"/>
        <v>155616</v>
      </c>
      <c r="J12" s="93">
        <f t="shared" si="4"/>
        <v>0</v>
      </c>
      <c r="K12" s="51">
        <f t="shared" si="5"/>
        <v>-36670</v>
      </c>
      <c r="L12" s="51">
        <f t="shared" si="6"/>
        <v>0</v>
      </c>
      <c r="M12" s="51">
        <f t="shared" si="7"/>
        <v>-161350</v>
      </c>
      <c r="O12" s="51">
        <v>47708</v>
      </c>
      <c r="P12" s="93">
        <v>105645</v>
      </c>
      <c r="Q12" s="51">
        <v>300702</v>
      </c>
      <c r="S12" s="93">
        <v>-756</v>
      </c>
      <c r="T12" s="51">
        <v>-14120</v>
      </c>
      <c r="U12" s="93">
        <v>-249764</v>
      </c>
      <c r="W12" s="93">
        <v>1243198</v>
      </c>
      <c r="X12" s="93"/>
      <c r="Y12" s="93">
        <v>189131</v>
      </c>
      <c r="AA12" s="40"/>
    </row>
    <row r="13" spans="1:27" ht="20.100000000000001" customHeight="1" x14ac:dyDescent="0.25">
      <c r="A13" s="46">
        <v>107</v>
      </c>
      <c r="B13" s="63" t="s">
        <v>110</v>
      </c>
      <c r="C13" s="85">
        <f>'MFPRSI Supplemental Info 2016'!D13</f>
        <v>2.9939599999999999E-3</v>
      </c>
      <c r="D13" s="85">
        <v>3.0369799999999999E-3</v>
      </c>
      <c r="E13" s="93">
        <f>'MFPRSI Supplemental Info 2016'!W13</f>
        <v>1872006</v>
      </c>
      <c r="F13" s="93">
        <f t="shared" si="0"/>
        <v>1898905</v>
      </c>
      <c r="G13" s="93">
        <f t="shared" si="1"/>
        <v>26899</v>
      </c>
      <c r="H13" s="93">
        <f t="shared" si="2"/>
        <v>222948</v>
      </c>
      <c r="I13" s="93">
        <f t="shared" si="3"/>
        <v>222948</v>
      </c>
      <c r="J13" s="93">
        <f t="shared" si="4"/>
        <v>0</v>
      </c>
      <c r="K13" s="51">
        <f t="shared" si="5"/>
        <v>4981</v>
      </c>
      <c r="L13" s="51">
        <f t="shared" si="6"/>
        <v>21918</v>
      </c>
      <c r="M13" s="51">
        <f t="shared" si="7"/>
        <v>0</v>
      </c>
      <c r="O13" s="51">
        <v>68350</v>
      </c>
      <c r="P13" s="93">
        <v>151356</v>
      </c>
      <c r="Q13" s="51">
        <v>430812</v>
      </c>
      <c r="S13" s="93">
        <v>-1084</v>
      </c>
      <c r="T13" s="51">
        <v>-20230</v>
      </c>
      <c r="U13" s="93">
        <v>-357833</v>
      </c>
      <c r="W13" s="93">
        <v>1781113</v>
      </c>
      <c r="X13" s="93"/>
      <c r="Y13" s="93">
        <v>270965</v>
      </c>
      <c r="AA13" s="40"/>
    </row>
    <row r="14" spans="1:27" ht="20.100000000000001" customHeight="1" x14ac:dyDescent="0.25">
      <c r="A14" s="46">
        <v>108</v>
      </c>
      <c r="B14" s="63" t="s">
        <v>111</v>
      </c>
      <c r="C14" s="85">
        <f>'MFPRSI Supplemental Info 2016'!D14</f>
        <v>1.7279389999999999E-2</v>
      </c>
      <c r="D14" s="85">
        <v>1.671545E-2</v>
      </c>
      <c r="E14" s="93">
        <f>'MFPRSI Supplemental Info 2016'!W14</f>
        <v>10804128</v>
      </c>
      <c r="F14" s="93">
        <f t="shared" si="0"/>
        <v>10451518</v>
      </c>
      <c r="G14" s="93">
        <f t="shared" si="1"/>
        <v>-352610</v>
      </c>
      <c r="H14" s="93">
        <f t="shared" si="2"/>
        <v>1227101</v>
      </c>
      <c r="I14" s="93">
        <f t="shared" si="3"/>
        <v>1227101</v>
      </c>
      <c r="J14" s="93">
        <f t="shared" si="4"/>
        <v>0</v>
      </c>
      <c r="K14" s="51">
        <f t="shared" si="5"/>
        <v>-65298</v>
      </c>
      <c r="L14" s="51">
        <f t="shared" si="6"/>
        <v>0</v>
      </c>
      <c r="M14" s="51">
        <f t="shared" si="7"/>
        <v>-287312</v>
      </c>
      <c r="O14" s="51">
        <v>376199</v>
      </c>
      <c r="P14" s="93">
        <v>833060</v>
      </c>
      <c r="Q14" s="51">
        <v>2371179</v>
      </c>
      <c r="S14" s="93">
        <v>-5965</v>
      </c>
      <c r="T14" s="51">
        <v>-111345</v>
      </c>
      <c r="U14" s="93">
        <v>-1969504</v>
      </c>
      <c r="W14" s="93">
        <v>9803195</v>
      </c>
      <c r="X14" s="93"/>
      <c r="Y14" s="93">
        <v>1491382</v>
      </c>
      <c r="AA14" s="40"/>
    </row>
    <row r="15" spans="1:27" ht="20.100000000000001" customHeight="1" x14ac:dyDescent="0.25">
      <c r="A15" s="46">
        <v>109</v>
      </c>
      <c r="B15" s="63" t="s">
        <v>112</v>
      </c>
      <c r="C15" s="85">
        <f>'MFPRSI Supplemental Info 2016'!D15</f>
        <v>9.313457E-2</v>
      </c>
      <c r="D15" s="85">
        <v>9.6577670000000004E-2</v>
      </c>
      <c r="E15" s="93">
        <f>'MFPRSI Supplemental Info 2016'!W15</f>
        <v>58233408</v>
      </c>
      <c r="F15" s="93">
        <f t="shared" si="0"/>
        <v>60386244</v>
      </c>
      <c r="G15" s="93">
        <f t="shared" si="1"/>
        <v>2152836</v>
      </c>
      <c r="H15" s="93">
        <f t="shared" si="2"/>
        <v>7089879</v>
      </c>
      <c r="I15" s="93">
        <f t="shared" si="3"/>
        <v>7089879</v>
      </c>
      <c r="J15" s="93">
        <f t="shared" si="4"/>
        <v>0</v>
      </c>
      <c r="K15" s="51">
        <f t="shared" si="5"/>
        <v>398673</v>
      </c>
      <c r="L15" s="51">
        <f t="shared" si="6"/>
        <v>1754163</v>
      </c>
      <c r="M15" s="51">
        <f t="shared" si="7"/>
        <v>0</v>
      </c>
      <c r="O15" s="51">
        <v>2173584</v>
      </c>
      <c r="P15" s="93">
        <v>4813212</v>
      </c>
      <c r="Q15" s="51">
        <v>13700076</v>
      </c>
      <c r="S15" s="93">
        <v>-34463</v>
      </c>
      <c r="T15" s="51">
        <v>-643322</v>
      </c>
      <c r="U15" s="93">
        <v>-11379300</v>
      </c>
      <c r="W15" s="93">
        <v>56640395</v>
      </c>
      <c r="X15" s="93"/>
      <c r="Y15" s="93">
        <v>8616831</v>
      </c>
      <c r="AA15" s="40"/>
    </row>
    <row r="16" spans="1:27" ht="20.100000000000001" customHeight="1" x14ac:dyDescent="0.25">
      <c r="A16" s="46">
        <v>110</v>
      </c>
      <c r="B16" s="63" t="s">
        <v>113</v>
      </c>
      <c r="C16" s="85">
        <f>'MFPRSI Supplemental Info 2016'!D16</f>
        <v>2.4635799999999999E-3</v>
      </c>
      <c r="D16" s="85">
        <v>2.4296299999999999E-3</v>
      </c>
      <c r="E16" s="93">
        <f>'MFPRSI Supplemental Info 2016'!W16</f>
        <v>1540380</v>
      </c>
      <c r="F16" s="93">
        <f t="shared" si="0"/>
        <v>1519153</v>
      </c>
      <c r="G16" s="93">
        <f t="shared" si="1"/>
        <v>-21227</v>
      </c>
      <c r="H16" s="93">
        <f t="shared" si="2"/>
        <v>178362</v>
      </c>
      <c r="I16" s="93">
        <f t="shared" si="3"/>
        <v>178362</v>
      </c>
      <c r="J16" s="93">
        <f t="shared" si="4"/>
        <v>0</v>
      </c>
      <c r="K16" s="51">
        <f t="shared" si="5"/>
        <v>-3931</v>
      </c>
      <c r="L16" s="51">
        <f t="shared" si="6"/>
        <v>0</v>
      </c>
      <c r="M16" s="51">
        <f t="shared" si="7"/>
        <v>-17296</v>
      </c>
      <c r="O16" s="51">
        <v>54681</v>
      </c>
      <c r="P16" s="93">
        <v>121087</v>
      </c>
      <c r="Q16" s="51">
        <v>344656</v>
      </c>
      <c r="S16" s="93">
        <v>-867</v>
      </c>
      <c r="T16" s="51">
        <v>-16184</v>
      </c>
      <c r="U16" s="93">
        <v>-286272</v>
      </c>
      <c r="W16" s="93">
        <v>1424917</v>
      </c>
      <c r="X16" s="93"/>
      <c r="Y16" s="93">
        <v>216776</v>
      </c>
      <c r="AA16" s="40"/>
    </row>
    <row r="17" spans="1:27" ht="20.100000000000001" customHeight="1" x14ac:dyDescent="0.25">
      <c r="A17" s="46">
        <v>111</v>
      </c>
      <c r="B17" s="63" t="s">
        <v>114</v>
      </c>
      <c r="C17" s="85">
        <f>'MFPRSI Supplemental Info 2016'!D17</f>
        <v>3.34987E-3</v>
      </c>
      <c r="D17" s="85">
        <v>3.2138399999999999E-3</v>
      </c>
      <c r="E17" s="93">
        <f>'MFPRSI Supplemental Info 2016'!W17</f>
        <v>2094543</v>
      </c>
      <c r="F17" s="93">
        <f t="shared" si="0"/>
        <v>2009489</v>
      </c>
      <c r="G17" s="93">
        <f t="shared" si="1"/>
        <v>-85054</v>
      </c>
      <c r="H17" s="93">
        <f t="shared" si="2"/>
        <v>235932</v>
      </c>
      <c r="I17" s="93">
        <f t="shared" si="3"/>
        <v>235932</v>
      </c>
      <c r="J17" s="93">
        <f t="shared" si="4"/>
        <v>0</v>
      </c>
      <c r="K17" s="51">
        <f t="shared" si="5"/>
        <v>-15751</v>
      </c>
      <c r="L17" s="51">
        <f t="shared" si="6"/>
        <v>0</v>
      </c>
      <c r="M17" s="51">
        <f t="shared" si="7"/>
        <v>-69303</v>
      </c>
      <c r="O17" s="51">
        <v>72331</v>
      </c>
      <c r="P17" s="93">
        <v>160171</v>
      </c>
      <c r="Q17" s="51">
        <v>455901</v>
      </c>
      <c r="S17" s="93">
        <v>-1147</v>
      </c>
      <c r="T17" s="51">
        <v>-21408</v>
      </c>
      <c r="U17" s="93">
        <v>-378672</v>
      </c>
      <c r="W17" s="93">
        <v>1884837</v>
      </c>
      <c r="X17" s="93"/>
      <c r="Y17" s="93">
        <v>286745</v>
      </c>
      <c r="AA17" s="40"/>
    </row>
    <row r="18" spans="1:27" ht="20.100000000000001" customHeight="1" x14ac:dyDescent="0.25">
      <c r="A18" s="46">
        <v>112</v>
      </c>
      <c r="B18" s="63" t="s">
        <v>115</v>
      </c>
      <c r="C18" s="85">
        <f>'MFPRSI Supplemental Info 2016'!D18</f>
        <v>1.907348E-2</v>
      </c>
      <c r="D18" s="85">
        <v>1.8612099999999999E-2</v>
      </c>
      <c r="E18" s="93">
        <f>'MFPRSI Supplemental Info 2016'!W18</f>
        <v>11925902</v>
      </c>
      <c r="F18" s="93">
        <f t="shared" si="0"/>
        <v>11637419</v>
      </c>
      <c r="G18" s="93">
        <f t="shared" si="1"/>
        <v>-288483</v>
      </c>
      <c r="H18" s="93">
        <f t="shared" si="2"/>
        <v>1366336</v>
      </c>
      <c r="I18" s="93">
        <f t="shared" si="3"/>
        <v>1366336</v>
      </c>
      <c r="J18" s="93">
        <f t="shared" si="4"/>
        <v>0</v>
      </c>
      <c r="K18" s="51">
        <f t="shared" si="5"/>
        <v>-53423</v>
      </c>
      <c r="L18" s="51">
        <f t="shared" si="6"/>
        <v>0</v>
      </c>
      <c r="M18" s="51">
        <f t="shared" si="7"/>
        <v>-235060</v>
      </c>
      <c r="O18" s="51">
        <v>418885</v>
      </c>
      <c r="P18" s="93">
        <v>927585</v>
      </c>
      <c r="Q18" s="51">
        <v>2640229</v>
      </c>
      <c r="S18" s="93">
        <v>-6642</v>
      </c>
      <c r="T18" s="51">
        <v>-123979</v>
      </c>
      <c r="U18" s="93">
        <v>-2192978</v>
      </c>
      <c r="W18" s="93">
        <v>10915532</v>
      </c>
      <c r="X18" s="93"/>
      <c r="Y18" s="93">
        <v>1660605</v>
      </c>
      <c r="AA18" s="40"/>
    </row>
    <row r="19" spans="1:27" ht="20.100000000000001" customHeight="1" x14ac:dyDescent="0.25">
      <c r="A19" s="46">
        <v>113</v>
      </c>
      <c r="B19" s="63" t="s">
        <v>116</v>
      </c>
      <c r="C19" s="85">
        <f>'MFPRSI Supplemental Info 2016'!D19</f>
        <v>6.0141200000000004E-3</v>
      </c>
      <c r="D19" s="85">
        <v>5.9240300000000003E-3</v>
      </c>
      <c r="E19" s="93">
        <f>'MFPRSI Supplemental Info 2016'!W19</f>
        <v>3760394</v>
      </c>
      <c r="F19" s="93">
        <f t="shared" si="0"/>
        <v>3704065</v>
      </c>
      <c r="G19" s="93">
        <f t="shared" si="1"/>
        <v>-56329</v>
      </c>
      <c r="H19" s="93">
        <f t="shared" si="2"/>
        <v>434890</v>
      </c>
      <c r="I19" s="93">
        <f t="shared" si="3"/>
        <v>434890</v>
      </c>
      <c r="J19" s="93">
        <f t="shared" si="4"/>
        <v>0</v>
      </c>
      <c r="K19" s="51">
        <f t="shared" si="5"/>
        <v>-10431</v>
      </c>
      <c r="L19" s="51">
        <f t="shared" si="6"/>
        <v>0</v>
      </c>
      <c r="M19" s="51">
        <f t="shared" si="7"/>
        <v>-45898</v>
      </c>
      <c r="O19" s="51">
        <v>133327</v>
      </c>
      <c r="P19" s="93">
        <v>295240</v>
      </c>
      <c r="Q19" s="51">
        <v>840356</v>
      </c>
      <c r="S19" s="93">
        <v>-2114</v>
      </c>
      <c r="T19" s="51">
        <v>-39461</v>
      </c>
      <c r="U19" s="93">
        <v>-698001</v>
      </c>
      <c r="W19" s="93">
        <v>3474296</v>
      </c>
      <c r="X19" s="93"/>
      <c r="Y19" s="93">
        <v>528553</v>
      </c>
      <c r="AA19" s="40"/>
    </row>
    <row r="20" spans="1:27" ht="20.100000000000001" customHeight="1" x14ac:dyDescent="0.25">
      <c r="A20" s="46">
        <v>114</v>
      </c>
      <c r="B20" s="63" t="s">
        <v>117</v>
      </c>
      <c r="C20" s="85">
        <f>'MFPRSI Supplemental Info 2016'!D20</f>
        <v>5.9174749999999998E-2</v>
      </c>
      <c r="D20" s="85">
        <v>5.8139049999999998E-2</v>
      </c>
      <c r="E20" s="93">
        <f>'MFPRSI Supplemental Info 2016'!W20</f>
        <v>36999659</v>
      </c>
      <c r="F20" s="93">
        <f t="shared" si="0"/>
        <v>36352077</v>
      </c>
      <c r="G20" s="93">
        <f t="shared" si="1"/>
        <v>-647582</v>
      </c>
      <c r="H20" s="93">
        <f t="shared" si="2"/>
        <v>4268055</v>
      </c>
      <c r="I20" s="93">
        <f t="shared" si="3"/>
        <v>4268055</v>
      </c>
      <c r="J20" s="93">
        <f t="shared" si="4"/>
        <v>0</v>
      </c>
      <c r="K20" s="51">
        <f t="shared" si="5"/>
        <v>-119923</v>
      </c>
      <c r="L20" s="51">
        <f t="shared" si="6"/>
        <v>0</v>
      </c>
      <c r="M20" s="51">
        <f t="shared" si="7"/>
        <v>-527659</v>
      </c>
      <c r="O20" s="51">
        <v>1308482</v>
      </c>
      <c r="P20" s="93">
        <v>2897519</v>
      </c>
      <c r="Q20" s="51">
        <v>8247345</v>
      </c>
      <c r="S20" s="93">
        <v>-20746</v>
      </c>
      <c r="T20" s="51">
        <v>-387275</v>
      </c>
      <c r="U20" s="93">
        <v>-6850255</v>
      </c>
      <c r="W20" s="93">
        <v>34097103</v>
      </c>
      <c r="X20" s="93"/>
      <c r="Y20" s="93">
        <v>5187269</v>
      </c>
      <c r="AA20" s="40"/>
    </row>
    <row r="21" spans="1:27" ht="20.100000000000001" customHeight="1" x14ac:dyDescent="0.25">
      <c r="A21" s="46">
        <v>115</v>
      </c>
      <c r="B21" s="63" t="s">
        <v>118</v>
      </c>
      <c r="C21" s="85">
        <f>'MFPRSI Supplemental Info 2016'!D21</f>
        <v>2.8960600000000002E-3</v>
      </c>
      <c r="D21" s="85">
        <v>2.8931600000000001E-3</v>
      </c>
      <c r="E21" s="93">
        <f>'MFPRSI Supplemental Info 2016'!W21</f>
        <v>1810793</v>
      </c>
      <c r="F21" s="93">
        <f t="shared" si="0"/>
        <v>1808980</v>
      </c>
      <c r="G21" s="93">
        <f t="shared" si="1"/>
        <v>-1813</v>
      </c>
      <c r="H21" s="93">
        <f t="shared" si="2"/>
        <v>212390</v>
      </c>
      <c r="I21" s="93">
        <f t="shared" si="3"/>
        <v>212390</v>
      </c>
      <c r="J21" s="93">
        <f t="shared" si="4"/>
        <v>0</v>
      </c>
      <c r="K21" s="51">
        <f t="shared" si="5"/>
        <v>-336</v>
      </c>
      <c r="L21" s="51">
        <f t="shared" si="6"/>
        <v>0</v>
      </c>
      <c r="M21" s="51">
        <f t="shared" si="7"/>
        <v>-1477</v>
      </c>
      <c r="O21" s="51">
        <v>65114</v>
      </c>
      <c r="P21" s="93">
        <v>144189</v>
      </c>
      <c r="Q21" s="51">
        <v>410411</v>
      </c>
      <c r="S21" s="93">
        <v>-1032</v>
      </c>
      <c r="T21" s="51">
        <v>-19272</v>
      </c>
      <c r="U21" s="93">
        <v>-340888</v>
      </c>
      <c r="W21" s="93">
        <v>1696766</v>
      </c>
      <c r="X21" s="93"/>
      <c r="Y21" s="93">
        <v>258133</v>
      </c>
      <c r="AA21" s="40"/>
    </row>
    <row r="22" spans="1:27" ht="20.100000000000001" customHeight="1" x14ac:dyDescent="0.25">
      <c r="A22" s="46">
        <v>116</v>
      </c>
      <c r="B22" s="63" t="s">
        <v>119</v>
      </c>
      <c r="C22" s="85">
        <f>'MFPRSI Supplemental Info 2016'!D22</f>
        <v>8.1133689999999994E-2</v>
      </c>
      <c r="D22" s="85">
        <v>7.8139829999999993E-2</v>
      </c>
      <c r="E22" s="93">
        <f>'MFPRSI Supplemental Info 2016'!W22</f>
        <v>50729727</v>
      </c>
      <c r="F22" s="93">
        <f t="shared" si="0"/>
        <v>48857783</v>
      </c>
      <c r="G22" s="93">
        <f t="shared" si="1"/>
        <v>-1871944</v>
      </c>
      <c r="H22" s="93">
        <f t="shared" si="2"/>
        <v>5736336</v>
      </c>
      <c r="I22" s="93">
        <f t="shared" si="3"/>
        <v>5736336</v>
      </c>
      <c r="J22" s="93">
        <f t="shared" si="4"/>
        <v>0</v>
      </c>
      <c r="K22" s="51">
        <f t="shared" si="5"/>
        <v>-346656</v>
      </c>
      <c r="L22" s="51">
        <f t="shared" si="6"/>
        <v>0</v>
      </c>
      <c r="M22" s="51">
        <f t="shared" si="7"/>
        <v>-1525288</v>
      </c>
      <c r="O22" s="51">
        <v>1758621</v>
      </c>
      <c r="P22" s="93">
        <v>3894312</v>
      </c>
      <c r="Q22" s="51">
        <v>11084566</v>
      </c>
      <c r="S22" s="93">
        <v>-27883</v>
      </c>
      <c r="T22" s="51">
        <v>-520504</v>
      </c>
      <c r="U22" s="93">
        <v>-9206855</v>
      </c>
      <c r="W22" s="93">
        <v>45827061</v>
      </c>
      <c r="X22" s="93"/>
      <c r="Y22" s="93">
        <v>6971774</v>
      </c>
      <c r="AA22" s="40"/>
    </row>
    <row r="23" spans="1:27" ht="20.100000000000001" customHeight="1" x14ac:dyDescent="0.25">
      <c r="A23" s="46">
        <v>117</v>
      </c>
      <c r="B23" s="63" t="s">
        <v>120</v>
      </c>
      <c r="C23" s="85">
        <f>'MFPRSI Supplemental Info 2016'!D23</f>
        <v>2.8899199999999998E-3</v>
      </c>
      <c r="D23" s="85">
        <v>3.1374200000000001E-3</v>
      </c>
      <c r="E23" s="93">
        <f>'MFPRSI Supplemental Info 2016'!W23</f>
        <v>1806954</v>
      </c>
      <c r="F23" s="93">
        <f t="shared" si="0"/>
        <v>1961706</v>
      </c>
      <c r="G23" s="93">
        <f t="shared" si="1"/>
        <v>154752</v>
      </c>
      <c r="H23" s="93">
        <f t="shared" si="2"/>
        <v>230322</v>
      </c>
      <c r="I23" s="93">
        <f t="shared" si="3"/>
        <v>230322</v>
      </c>
      <c r="J23" s="93">
        <f t="shared" si="4"/>
        <v>0</v>
      </c>
      <c r="K23" s="51">
        <f t="shared" si="5"/>
        <v>28658</v>
      </c>
      <c r="L23" s="51">
        <f t="shared" si="6"/>
        <v>126094</v>
      </c>
      <c r="M23" s="51">
        <f t="shared" si="7"/>
        <v>0</v>
      </c>
      <c r="O23" s="51">
        <v>70611</v>
      </c>
      <c r="P23" s="93">
        <v>156362</v>
      </c>
      <c r="Q23" s="51">
        <v>445060</v>
      </c>
      <c r="S23" s="93">
        <v>-1120</v>
      </c>
      <c r="T23" s="51">
        <v>-20899</v>
      </c>
      <c r="U23" s="93">
        <v>-369668</v>
      </c>
      <c r="W23" s="93">
        <v>1840019</v>
      </c>
      <c r="X23" s="93"/>
      <c r="Y23" s="93">
        <v>279926</v>
      </c>
      <c r="AA23" s="40"/>
    </row>
    <row r="24" spans="1:27" ht="20.100000000000001" customHeight="1" x14ac:dyDescent="0.25">
      <c r="A24" s="46">
        <v>118</v>
      </c>
      <c r="B24" s="63" t="s">
        <v>121</v>
      </c>
      <c r="C24" s="85">
        <f>'MFPRSI Supplemental Info 2016'!D24</f>
        <v>0.18298306</v>
      </c>
      <c r="D24" s="85">
        <v>0.18007197999999999</v>
      </c>
      <c r="E24" s="93">
        <f>'MFPRSI Supplemental Info 2016'!W24</f>
        <v>114412167</v>
      </c>
      <c r="F24" s="93">
        <f t="shared" si="0"/>
        <v>112591974</v>
      </c>
      <c r="G24" s="93">
        <f t="shared" si="1"/>
        <v>-1820193</v>
      </c>
      <c r="H24" s="93">
        <f t="shared" si="2"/>
        <v>13219293</v>
      </c>
      <c r="I24" s="93">
        <f t="shared" si="3"/>
        <v>13219293</v>
      </c>
      <c r="J24" s="93">
        <f t="shared" si="4"/>
        <v>0</v>
      </c>
      <c r="K24" s="51">
        <f t="shared" si="5"/>
        <v>-337073</v>
      </c>
      <c r="L24" s="51">
        <f t="shared" si="6"/>
        <v>0</v>
      </c>
      <c r="M24" s="51">
        <f t="shared" si="7"/>
        <v>-1483120</v>
      </c>
      <c r="O24" s="51">
        <v>4052715</v>
      </c>
      <c r="P24" s="93">
        <v>8974376</v>
      </c>
      <c r="Q24" s="51">
        <v>25544210</v>
      </c>
      <c r="S24" s="93">
        <v>-64257</v>
      </c>
      <c r="T24" s="51">
        <v>-1199493</v>
      </c>
      <c r="U24" s="93">
        <v>-21217049</v>
      </c>
      <c r="W24" s="93">
        <v>105607726</v>
      </c>
      <c r="X24" s="93"/>
      <c r="Y24" s="93">
        <v>16066342</v>
      </c>
      <c r="AA24" s="40"/>
    </row>
    <row r="25" spans="1:27" ht="20.100000000000001" customHeight="1" x14ac:dyDescent="0.25">
      <c r="A25" s="46">
        <v>119</v>
      </c>
      <c r="B25" s="63" t="s">
        <v>122</v>
      </c>
      <c r="C25" s="85">
        <f>'MFPRSI Supplemental Info 2016'!D25</f>
        <v>2.3360099999999999E-3</v>
      </c>
      <c r="D25" s="85">
        <v>2.1830500000000002E-3</v>
      </c>
      <c r="E25" s="93">
        <f>'MFPRSI Supplemental Info 2016'!W25</f>
        <v>1460616</v>
      </c>
      <c r="F25" s="93">
        <f t="shared" si="0"/>
        <v>1364976</v>
      </c>
      <c r="G25" s="93">
        <f t="shared" si="1"/>
        <v>-95640</v>
      </c>
      <c r="H25" s="93">
        <f t="shared" si="2"/>
        <v>160260</v>
      </c>
      <c r="I25" s="93">
        <f t="shared" si="3"/>
        <v>160260</v>
      </c>
      <c r="J25" s="93">
        <f t="shared" si="4"/>
        <v>0</v>
      </c>
      <c r="K25" s="51">
        <f t="shared" si="5"/>
        <v>-17711</v>
      </c>
      <c r="L25" s="51">
        <f t="shared" si="6"/>
        <v>0</v>
      </c>
      <c r="M25" s="51">
        <f t="shared" si="7"/>
        <v>-77929</v>
      </c>
      <c r="O25" s="51">
        <v>49132</v>
      </c>
      <c r="P25" s="93">
        <v>108798</v>
      </c>
      <c r="Q25" s="51">
        <v>309678</v>
      </c>
      <c r="S25" s="93">
        <v>-779</v>
      </c>
      <c r="T25" s="51">
        <v>-14542</v>
      </c>
      <c r="U25" s="93">
        <v>-257219</v>
      </c>
      <c r="W25" s="93">
        <v>1280304</v>
      </c>
      <c r="X25" s="93"/>
      <c r="Y25" s="93">
        <v>194776</v>
      </c>
      <c r="AA25" s="40"/>
    </row>
    <row r="26" spans="1:27" ht="20.100000000000001" customHeight="1" x14ac:dyDescent="0.25">
      <c r="A26" s="46">
        <v>120</v>
      </c>
      <c r="B26" s="63" t="s">
        <v>123</v>
      </c>
      <c r="C26" s="85">
        <f>'MFPRSI Supplemental Info 2016'!D26</f>
        <v>4.9532850000000003E-2</v>
      </c>
      <c r="D26" s="85">
        <v>4.7848679999999998E-2</v>
      </c>
      <c r="E26" s="93">
        <f>'MFPRSI Supplemental Info 2016'!W26</f>
        <v>30970956</v>
      </c>
      <c r="F26" s="93">
        <f t="shared" si="0"/>
        <v>29917910</v>
      </c>
      <c r="G26" s="93">
        <f t="shared" si="1"/>
        <v>-1053046</v>
      </c>
      <c r="H26" s="93">
        <f t="shared" si="2"/>
        <v>3512627</v>
      </c>
      <c r="I26" s="93">
        <f t="shared" si="3"/>
        <v>3512627</v>
      </c>
      <c r="J26" s="93">
        <f t="shared" si="4"/>
        <v>0</v>
      </c>
      <c r="K26" s="51">
        <f t="shared" si="5"/>
        <v>-195009</v>
      </c>
      <c r="L26" s="51">
        <f t="shared" si="6"/>
        <v>0</v>
      </c>
      <c r="M26" s="51">
        <f t="shared" si="7"/>
        <v>-858037</v>
      </c>
      <c r="O26" s="51">
        <v>1076886</v>
      </c>
      <c r="P26" s="93">
        <v>2384670</v>
      </c>
      <c r="Q26" s="51">
        <v>6787599</v>
      </c>
      <c r="S26" s="93">
        <v>-17074</v>
      </c>
      <c r="T26" s="51">
        <v>-318729</v>
      </c>
      <c r="U26" s="93">
        <v>-5637789</v>
      </c>
      <c r="W26" s="93">
        <v>28062057</v>
      </c>
      <c r="X26" s="93"/>
      <c r="Y26" s="93">
        <v>4269144</v>
      </c>
      <c r="AA26" s="40"/>
    </row>
    <row r="27" spans="1:27" ht="20.100000000000001" customHeight="1" x14ac:dyDescent="0.25">
      <c r="A27" s="46">
        <v>121</v>
      </c>
      <c r="B27" s="63" t="s">
        <v>124</v>
      </c>
      <c r="C27" s="85">
        <f>'MFPRSI Supplemental Info 2016'!D27</f>
        <v>2.16914E-3</v>
      </c>
      <c r="D27" s="85">
        <v>2.3517400000000002E-3</v>
      </c>
      <c r="E27" s="93">
        <f>'MFPRSI Supplemental Info 2016'!W27</f>
        <v>1356279</v>
      </c>
      <c r="F27" s="93">
        <f t="shared" si="0"/>
        <v>1470451</v>
      </c>
      <c r="G27" s="93">
        <f t="shared" si="1"/>
        <v>114172</v>
      </c>
      <c r="H27" s="93">
        <f t="shared" si="2"/>
        <v>172644</v>
      </c>
      <c r="I27" s="93">
        <f t="shared" si="3"/>
        <v>172644</v>
      </c>
      <c r="J27" s="93">
        <f t="shared" si="4"/>
        <v>0</v>
      </c>
      <c r="K27" s="51">
        <f t="shared" si="5"/>
        <v>21143</v>
      </c>
      <c r="L27" s="51">
        <f t="shared" si="6"/>
        <v>93029</v>
      </c>
      <c r="M27" s="51">
        <f t="shared" si="7"/>
        <v>0</v>
      </c>
      <c r="O27" s="51">
        <v>52928</v>
      </c>
      <c r="P27" s="93">
        <v>117205</v>
      </c>
      <c r="Q27" s="51">
        <v>333607</v>
      </c>
      <c r="S27" s="93">
        <v>-839</v>
      </c>
      <c r="T27" s="51">
        <v>-15665</v>
      </c>
      <c r="U27" s="93">
        <v>-277095</v>
      </c>
      <c r="W27" s="93">
        <v>1379237</v>
      </c>
      <c r="X27" s="93"/>
      <c r="Y27" s="93">
        <v>209826</v>
      </c>
      <c r="AA27" s="40"/>
    </row>
    <row r="28" spans="1:27" ht="20.100000000000001" customHeight="1" x14ac:dyDescent="0.25">
      <c r="A28" s="46">
        <v>122</v>
      </c>
      <c r="B28" s="63" t="s">
        <v>125</v>
      </c>
      <c r="C28" s="85">
        <f>'MFPRSI Supplemental Info 2016'!D28</f>
        <v>1.22988E-3</v>
      </c>
      <c r="D28" s="85">
        <v>1.20476E-3</v>
      </c>
      <c r="E28" s="93">
        <f>'MFPRSI Supplemental Info 2016'!W28</f>
        <v>768996</v>
      </c>
      <c r="F28" s="93">
        <f t="shared" si="0"/>
        <v>753289</v>
      </c>
      <c r="G28" s="93">
        <f t="shared" si="1"/>
        <v>-15707</v>
      </c>
      <c r="H28" s="93">
        <f t="shared" si="2"/>
        <v>88443</v>
      </c>
      <c r="I28" s="93">
        <f t="shared" si="3"/>
        <v>88443</v>
      </c>
      <c r="J28" s="93">
        <f t="shared" si="4"/>
        <v>0</v>
      </c>
      <c r="K28" s="51">
        <f t="shared" si="5"/>
        <v>-2909</v>
      </c>
      <c r="L28" s="51">
        <f t="shared" si="6"/>
        <v>0</v>
      </c>
      <c r="M28" s="51">
        <f t="shared" si="7"/>
        <v>-12798</v>
      </c>
      <c r="O28" s="51">
        <v>27114</v>
      </c>
      <c r="P28" s="93">
        <v>60043</v>
      </c>
      <c r="Q28" s="51">
        <v>170902</v>
      </c>
      <c r="S28" s="93">
        <v>-430</v>
      </c>
      <c r="T28" s="51">
        <v>-8025</v>
      </c>
      <c r="U28" s="93">
        <v>-141951</v>
      </c>
      <c r="W28" s="93">
        <v>706562</v>
      </c>
      <c r="X28" s="93"/>
      <c r="Y28" s="93">
        <v>107491</v>
      </c>
      <c r="AA28" s="40"/>
    </row>
    <row r="29" spans="1:27" ht="20.100000000000001" customHeight="1" x14ac:dyDescent="0.25">
      <c r="A29" s="46">
        <v>123</v>
      </c>
      <c r="B29" s="63" t="s">
        <v>126</v>
      </c>
      <c r="C29" s="85">
        <f>'MFPRSI Supplemental Info 2016'!D29</f>
        <v>3.4241300000000001E-3</v>
      </c>
      <c r="D29" s="85">
        <v>3.4895099999999999E-3</v>
      </c>
      <c r="E29" s="93">
        <f>'MFPRSI Supplemental Info 2016'!W29</f>
        <v>2140975</v>
      </c>
      <c r="F29" s="93">
        <f t="shared" si="0"/>
        <v>2181854</v>
      </c>
      <c r="G29" s="93">
        <f t="shared" si="1"/>
        <v>40879</v>
      </c>
      <c r="H29" s="93">
        <f t="shared" si="2"/>
        <v>256169</v>
      </c>
      <c r="I29" s="93">
        <f t="shared" si="3"/>
        <v>256169</v>
      </c>
      <c r="J29" s="93">
        <f t="shared" si="4"/>
        <v>0</v>
      </c>
      <c r="K29" s="51">
        <f t="shared" si="5"/>
        <v>7570</v>
      </c>
      <c r="L29" s="51">
        <f t="shared" si="6"/>
        <v>33309</v>
      </c>
      <c r="M29" s="51">
        <f t="shared" si="7"/>
        <v>0</v>
      </c>
      <c r="O29" s="51">
        <v>78535</v>
      </c>
      <c r="P29" s="93">
        <v>173909</v>
      </c>
      <c r="Q29" s="51">
        <v>495006</v>
      </c>
      <c r="S29" s="93">
        <v>-1245</v>
      </c>
      <c r="T29" s="51">
        <v>-23244</v>
      </c>
      <c r="U29" s="93">
        <v>-411153</v>
      </c>
      <c r="W29" s="93">
        <v>2046511</v>
      </c>
      <c r="X29" s="93"/>
      <c r="Y29" s="93">
        <v>311340</v>
      </c>
      <c r="AA29" s="40"/>
    </row>
    <row r="30" spans="1:27" ht="20.100000000000001" customHeight="1" x14ac:dyDescent="0.25">
      <c r="A30" s="46">
        <v>124</v>
      </c>
      <c r="B30" s="63" t="s">
        <v>127</v>
      </c>
      <c r="C30" s="85">
        <f>'MFPRSI Supplemental Info 2016'!D30</f>
        <v>1.4646299999999999E-2</v>
      </c>
      <c r="D30" s="85">
        <v>1.494614E-2</v>
      </c>
      <c r="E30" s="93">
        <f>'MFPRSI Supplemental Info 2016'!W30</f>
        <v>9157759</v>
      </c>
      <c r="F30" s="93">
        <f t="shared" si="0"/>
        <v>9345237</v>
      </c>
      <c r="G30" s="93">
        <f t="shared" si="1"/>
        <v>187478</v>
      </c>
      <c r="H30" s="93">
        <f t="shared" si="2"/>
        <v>1097214</v>
      </c>
      <c r="I30" s="93">
        <f t="shared" si="3"/>
        <v>1097214</v>
      </c>
      <c r="J30" s="93">
        <f t="shared" si="4"/>
        <v>0</v>
      </c>
      <c r="K30" s="51">
        <f t="shared" si="5"/>
        <v>34718</v>
      </c>
      <c r="L30" s="51">
        <f t="shared" si="6"/>
        <v>152760</v>
      </c>
      <c r="M30" s="51">
        <f t="shared" si="7"/>
        <v>0</v>
      </c>
      <c r="O30" s="51">
        <v>336379</v>
      </c>
      <c r="P30" s="93">
        <v>744882</v>
      </c>
      <c r="Q30" s="51">
        <v>2120192</v>
      </c>
      <c r="S30" s="93">
        <v>-5333</v>
      </c>
      <c r="T30" s="51">
        <v>-99559</v>
      </c>
      <c r="U30" s="93">
        <v>-1761034</v>
      </c>
      <c r="W30" s="93">
        <v>8765538</v>
      </c>
      <c r="X30" s="93"/>
      <c r="Y30" s="93">
        <v>1333521</v>
      </c>
      <c r="AA30" s="40"/>
    </row>
    <row r="31" spans="1:27" ht="20.100000000000001" customHeight="1" x14ac:dyDescent="0.25">
      <c r="A31" s="46">
        <v>125</v>
      </c>
      <c r="B31" s="63" t="s">
        <v>128</v>
      </c>
      <c r="C31" s="85">
        <f>'MFPRSI Supplemental Info 2016'!D31</f>
        <v>7.10751E-3</v>
      </c>
      <c r="D31" s="85">
        <v>7.2040100000000003E-3</v>
      </c>
      <c r="E31" s="93">
        <f>'MFPRSI Supplemental Info 2016'!W31</f>
        <v>4444048</v>
      </c>
      <c r="F31" s="93">
        <f t="shared" si="0"/>
        <v>4504386</v>
      </c>
      <c r="G31" s="93">
        <f t="shared" si="1"/>
        <v>60338</v>
      </c>
      <c r="H31" s="93">
        <f t="shared" si="2"/>
        <v>528855</v>
      </c>
      <c r="I31" s="93">
        <f t="shared" si="3"/>
        <v>528855</v>
      </c>
      <c r="J31" s="93">
        <f t="shared" si="4"/>
        <v>0</v>
      </c>
      <c r="K31" s="51">
        <f t="shared" si="5"/>
        <v>11174</v>
      </c>
      <c r="L31" s="51">
        <f t="shared" si="6"/>
        <v>49164</v>
      </c>
      <c r="M31" s="51">
        <f t="shared" si="7"/>
        <v>0</v>
      </c>
      <c r="O31" s="51">
        <v>162134</v>
      </c>
      <c r="P31" s="93">
        <v>359032</v>
      </c>
      <c r="Q31" s="51">
        <v>1021929</v>
      </c>
      <c r="S31" s="93">
        <v>-2571</v>
      </c>
      <c r="T31" s="51">
        <v>-47987</v>
      </c>
      <c r="U31" s="93">
        <v>-848815</v>
      </c>
      <c r="W31" s="93">
        <v>4224972</v>
      </c>
      <c r="X31" s="93"/>
      <c r="Y31" s="93">
        <v>642755</v>
      </c>
      <c r="AA31" s="40"/>
    </row>
    <row r="32" spans="1:27" ht="20.100000000000001" customHeight="1" x14ac:dyDescent="0.25">
      <c r="A32" s="46">
        <v>126</v>
      </c>
      <c r="B32" s="63" t="s">
        <v>129</v>
      </c>
      <c r="C32" s="85">
        <f>'MFPRSI Supplemental Info 2016'!D32</f>
        <v>4.0621600000000004E-3</v>
      </c>
      <c r="D32" s="85">
        <v>4.1293099999999998E-3</v>
      </c>
      <c r="E32" s="93">
        <f>'MFPRSI Supplemental Info 2016'!W32</f>
        <v>2539910</v>
      </c>
      <c r="F32" s="93">
        <f t="shared" si="0"/>
        <v>2581896</v>
      </c>
      <c r="G32" s="93">
        <f t="shared" si="1"/>
        <v>41986</v>
      </c>
      <c r="H32" s="93">
        <f t="shared" si="2"/>
        <v>303137</v>
      </c>
      <c r="I32" s="93">
        <f t="shared" si="3"/>
        <v>303137</v>
      </c>
      <c r="J32" s="93">
        <f t="shared" si="4"/>
        <v>0</v>
      </c>
      <c r="K32" s="51">
        <f t="shared" si="5"/>
        <v>7775</v>
      </c>
      <c r="L32" s="51">
        <f t="shared" si="6"/>
        <v>34211</v>
      </c>
      <c r="M32" s="51">
        <f t="shared" si="7"/>
        <v>0</v>
      </c>
      <c r="O32" s="51">
        <v>92935</v>
      </c>
      <c r="P32" s="93">
        <v>205795</v>
      </c>
      <c r="Q32" s="51">
        <v>585765</v>
      </c>
      <c r="S32" s="93">
        <v>-1474</v>
      </c>
      <c r="T32" s="51">
        <v>-27506</v>
      </c>
      <c r="U32" s="93">
        <v>-486537</v>
      </c>
      <c r="W32" s="93">
        <v>2421737</v>
      </c>
      <c r="X32" s="93"/>
      <c r="Y32" s="93">
        <v>368424</v>
      </c>
      <c r="AA32" s="40"/>
    </row>
    <row r="33" spans="1:27" ht="20.100000000000001" customHeight="1" x14ac:dyDescent="0.25">
      <c r="A33" s="46">
        <v>127</v>
      </c>
      <c r="B33" s="63" t="s">
        <v>130</v>
      </c>
      <c r="C33" s="85">
        <f>'MFPRSI Supplemental Info 2016'!D33</f>
        <v>4.4648400000000003E-3</v>
      </c>
      <c r="D33" s="85">
        <v>4.5580999999999998E-3</v>
      </c>
      <c r="E33" s="93">
        <f>'MFPRSI Supplemental Info 2016'!W33</f>
        <v>2791690</v>
      </c>
      <c r="F33" s="93">
        <f t="shared" si="0"/>
        <v>2850002</v>
      </c>
      <c r="G33" s="93">
        <f t="shared" si="1"/>
        <v>58312</v>
      </c>
      <c r="H33" s="93">
        <f t="shared" si="2"/>
        <v>334615</v>
      </c>
      <c r="I33" s="93">
        <f t="shared" si="3"/>
        <v>334615</v>
      </c>
      <c r="J33" s="93">
        <f t="shared" si="4"/>
        <v>0</v>
      </c>
      <c r="K33" s="51">
        <f t="shared" si="5"/>
        <v>10799</v>
      </c>
      <c r="L33" s="51">
        <f t="shared" si="6"/>
        <v>47513</v>
      </c>
      <c r="M33" s="51">
        <f t="shared" si="7"/>
        <v>0</v>
      </c>
      <c r="O33" s="51">
        <v>102585</v>
      </c>
      <c r="P33" s="93">
        <v>227165</v>
      </c>
      <c r="Q33" s="51">
        <v>646592</v>
      </c>
      <c r="S33" s="93">
        <v>-1627</v>
      </c>
      <c r="T33" s="51">
        <v>-30362</v>
      </c>
      <c r="U33" s="93">
        <v>-537060</v>
      </c>
      <c r="W33" s="93">
        <v>2673212</v>
      </c>
      <c r="X33" s="93"/>
      <c r="Y33" s="93">
        <v>406682</v>
      </c>
      <c r="AA33" s="40"/>
    </row>
    <row r="34" spans="1:27" ht="20.100000000000001" customHeight="1" x14ac:dyDescent="0.25">
      <c r="A34" s="46">
        <v>128</v>
      </c>
      <c r="B34" s="63" t="s">
        <v>131</v>
      </c>
      <c r="C34" s="85">
        <f>'MFPRSI Supplemental Info 2016'!D34</f>
        <v>3.6971280000000002E-2</v>
      </c>
      <c r="D34" s="85">
        <v>3.6486350000000001E-2</v>
      </c>
      <c r="E34" s="93">
        <f>'MFPRSI Supplemental Info 2016'!W34</f>
        <v>23116697</v>
      </c>
      <c r="F34" s="93">
        <f t="shared" si="0"/>
        <v>22813489</v>
      </c>
      <c r="G34" s="93">
        <f t="shared" si="1"/>
        <v>-303208</v>
      </c>
      <c r="H34" s="93">
        <f t="shared" si="2"/>
        <v>2678505</v>
      </c>
      <c r="I34" s="93">
        <f t="shared" si="3"/>
        <v>2678505</v>
      </c>
      <c r="J34" s="93">
        <f t="shared" si="4"/>
        <v>0</v>
      </c>
      <c r="K34" s="51">
        <f t="shared" si="5"/>
        <v>-56150</v>
      </c>
      <c r="L34" s="51">
        <f t="shared" si="6"/>
        <v>0</v>
      </c>
      <c r="M34" s="51">
        <f t="shared" si="7"/>
        <v>-247058</v>
      </c>
      <c r="O34" s="51">
        <v>821164</v>
      </c>
      <c r="P34" s="93">
        <v>1818397</v>
      </c>
      <c r="Q34" s="51">
        <v>5175790</v>
      </c>
      <c r="S34" s="93">
        <v>-13020</v>
      </c>
      <c r="T34" s="51">
        <v>-243042</v>
      </c>
      <c r="U34" s="93">
        <v>-4299018</v>
      </c>
      <c r="W34" s="93">
        <v>21398334</v>
      </c>
      <c r="X34" s="93"/>
      <c r="Y34" s="93">
        <v>3255377</v>
      </c>
      <c r="AA34" s="40"/>
    </row>
    <row r="35" spans="1:27" ht="20.100000000000001" customHeight="1" x14ac:dyDescent="0.25">
      <c r="A35" s="46">
        <v>129</v>
      </c>
      <c r="B35" s="63" t="s">
        <v>132</v>
      </c>
      <c r="C35" s="85">
        <f>'MFPRSI Supplemental Info 2016'!D35</f>
        <v>8.1036000000000007E-3</v>
      </c>
      <c r="D35" s="85">
        <v>8.3147099999999995E-3</v>
      </c>
      <c r="E35" s="93">
        <f>'MFPRSI Supplemental Info 2016'!W35</f>
        <v>5066865</v>
      </c>
      <c r="F35" s="93">
        <f t="shared" si="0"/>
        <v>5198863</v>
      </c>
      <c r="G35" s="93">
        <f t="shared" si="1"/>
        <v>131998</v>
      </c>
      <c r="H35" s="93">
        <f t="shared" si="2"/>
        <v>610393</v>
      </c>
      <c r="I35" s="93">
        <f t="shared" si="3"/>
        <v>610393</v>
      </c>
      <c r="J35" s="93">
        <f t="shared" si="4"/>
        <v>0</v>
      </c>
      <c r="K35" s="51">
        <f t="shared" si="5"/>
        <v>24444</v>
      </c>
      <c r="L35" s="51">
        <f t="shared" si="6"/>
        <v>107554</v>
      </c>
      <c r="M35" s="51">
        <f t="shared" si="7"/>
        <v>0</v>
      </c>
      <c r="O35" s="51">
        <v>187131</v>
      </c>
      <c r="P35" s="93">
        <v>414386</v>
      </c>
      <c r="Q35" s="51">
        <v>1179488</v>
      </c>
      <c r="S35" s="93">
        <v>-2967</v>
      </c>
      <c r="T35" s="51">
        <v>-55386</v>
      </c>
      <c r="U35" s="93">
        <v>-979684</v>
      </c>
      <c r="W35" s="93">
        <v>4876370</v>
      </c>
      <c r="X35" s="93"/>
      <c r="Y35" s="93">
        <v>741853</v>
      </c>
      <c r="AA35" s="40"/>
    </row>
    <row r="36" spans="1:27" ht="20.100000000000001" customHeight="1" x14ac:dyDescent="0.25">
      <c r="A36" s="46">
        <v>130</v>
      </c>
      <c r="B36" s="63" t="s">
        <v>133</v>
      </c>
      <c r="C36" s="85">
        <f>'MFPRSI Supplemental Info 2016'!D36</f>
        <v>2.7690200000000001E-3</v>
      </c>
      <c r="D36" s="85">
        <v>2.6952E-3</v>
      </c>
      <c r="E36" s="93">
        <f>'MFPRSI Supplemental Info 2016'!W36</f>
        <v>1731360</v>
      </c>
      <c r="F36" s="93">
        <f t="shared" si="0"/>
        <v>1685203</v>
      </c>
      <c r="G36" s="93">
        <f t="shared" si="1"/>
        <v>-46157</v>
      </c>
      <c r="H36" s="93">
        <f t="shared" si="2"/>
        <v>197858</v>
      </c>
      <c r="I36" s="93">
        <f t="shared" si="3"/>
        <v>197858</v>
      </c>
      <c r="J36" s="93">
        <f t="shared" si="4"/>
        <v>0</v>
      </c>
      <c r="K36" s="51">
        <f t="shared" si="5"/>
        <v>-8548</v>
      </c>
      <c r="L36" s="51">
        <f t="shared" si="6"/>
        <v>0</v>
      </c>
      <c r="M36" s="51">
        <f t="shared" si="7"/>
        <v>-37609</v>
      </c>
      <c r="O36" s="51">
        <v>60658</v>
      </c>
      <c r="P36" s="93">
        <v>134323</v>
      </c>
      <c r="Q36" s="51">
        <v>382329</v>
      </c>
      <c r="S36" s="93">
        <v>-962</v>
      </c>
      <c r="T36" s="51">
        <v>-17953</v>
      </c>
      <c r="U36" s="93">
        <v>-317563</v>
      </c>
      <c r="W36" s="93">
        <v>1580668</v>
      </c>
      <c r="X36" s="93"/>
      <c r="Y36" s="93">
        <v>240471</v>
      </c>
      <c r="AA36" s="40"/>
    </row>
    <row r="37" spans="1:27" ht="20.100000000000001" customHeight="1" x14ac:dyDescent="0.25">
      <c r="A37" s="46">
        <v>131</v>
      </c>
      <c r="B37" s="67" t="s">
        <v>134</v>
      </c>
      <c r="C37" s="85">
        <f>'MFPRSI Supplemental Info 2016'!D37</f>
        <v>3.4334999999999999E-3</v>
      </c>
      <c r="D37" s="85">
        <v>3.5157700000000001E-3</v>
      </c>
      <c r="E37" s="93">
        <f>'MFPRSI Supplemental Info 2016'!W37</f>
        <v>2146833</v>
      </c>
      <c r="F37" s="93">
        <f t="shared" si="0"/>
        <v>2198274</v>
      </c>
      <c r="G37" s="93">
        <f t="shared" si="1"/>
        <v>51441</v>
      </c>
      <c r="H37" s="93">
        <f t="shared" si="2"/>
        <v>258097</v>
      </c>
      <c r="I37" s="93">
        <f t="shared" si="3"/>
        <v>258097</v>
      </c>
      <c r="J37" s="93">
        <f t="shared" si="4"/>
        <v>0</v>
      </c>
      <c r="K37" s="51">
        <f t="shared" si="5"/>
        <v>9526</v>
      </c>
      <c r="L37" s="51">
        <f t="shared" si="6"/>
        <v>41915</v>
      </c>
      <c r="M37" s="51">
        <f t="shared" si="7"/>
        <v>0</v>
      </c>
      <c r="O37" s="51">
        <v>79126</v>
      </c>
      <c r="P37" s="93">
        <v>175218</v>
      </c>
      <c r="Q37" s="51">
        <v>498731</v>
      </c>
      <c r="S37" s="93">
        <v>-1255</v>
      </c>
      <c r="T37" s="51">
        <v>-23419</v>
      </c>
      <c r="U37" s="93">
        <v>-414247</v>
      </c>
      <c r="W37" s="93">
        <v>2061911</v>
      </c>
      <c r="X37" s="93"/>
      <c r="Y37" s="93">
        <v>313683</v>
      </c>
      <c r="AA37" s="40"/>
    </row>
    <row r="38" spans="1:27" ht="20.100000000000001" customHeight="1" x14ac:dyDescent="0.25">
      <c r="A38" s="46">
        <v>132</v>
      </c>
      <c r="B38" s="63" t="s">
        <v>135</v>
      </c>
      <c r="C38" s="85">
        <f>'MFPRSI Supplemental Info 2016'!D38</f>
        <v>2.20171E-3</v>
      </c>
      <c r="D38" s="85">
        <v>2.1241699999999999E-3</v>
      </c>
      <c r="E38" s="93">
        <f>'MFPRSI Supplemental Info 2016'!W38</f>
        <v>1376643</v>
      </c>
      <c r="F38" s="93">
        <f t="shared" si="0"/>
        <v>1328161</v>
      </c>
      <c r="G38" s="93">
        <f t="shared" si="1"/>
        <v>-48482</v>
      </c>
      <c r="H38" s="93">
        <f t="shared" si="2"/>
        <v>155938</v>
      </c>
      <c r="I38" s="93">
        <f t="shared" si="3"/>
        <v>155938</v>
      </c>
      <c r="J38" s="93">
        <f t="shared" si="4"/>
        <v>0</v>
      </c>
      <c r="K38" s="51">
        <f t="shared" si="5"/>
        <v>-8978</v>
      </c>
      <c r="L38" s="51">
        <f t="shared" si="6"/>
        <v>0</v>
      </c>
      <c r="M38" s="51">
        <f t="shared" si="7"/>
        <v>-39504</v>
      </c>
      <c r="O38" s="51">
        <v>47807</v>
      </c>
      <c r="P38" s="93">
        <v>105864</v>
      </c>
      <c r="Q38" s="51">
        <v>301325</v>
      </c>
      <c r="S38" s="93">
        <v>-758</v>
      </c>
      <c r="T38" s="51">
        <v>-14149</v>
      </c>
      <c r="U38" s="93">
        <v>-250281</v>
      </c>
      <c r="W38" s="93">
        <v>1245773</v>
      </c>
      <c r="X38" s="93"/>
      <c r="Y38" s="93">
        <v>189522</v>
      </c>
      <c r="AA38" s="40"/>
    </row>
    <row r="39" spans="1:27" ht="20.100000000000001" customHeight="1" x14ac:dyDescent="0.25">
      <c r="A39" s="46">
        <v>133</v>
      </c>
      <c r="B39" s="67" t="s">
        <v>136</v>
      </c>
      <c r="C39" s="85">
        <f>'MFPRSI Supplemental Info 2016'!D39</f>
        <v>1.8995700000000001E-2</v>
      </c>
      <c r="D39" s="85">
        <v>2.0101250000000001E-2</v>
      </c>
      <c r="E39" s="93">
        <f>'MFPRSI Supplemental Info 2016'!W39</f>
        <v>11877269</v>
      </c>
      <c r="F39" s="93">
        <f t="shared" si="0"/>
        <v>12568526</v>
      </c>
      <c r="G39" s="93">
        <f t="shared" si="1"/>
        <v>691257</v>
      </c>
      <c r="H39" s="93">
        <f t="shared" si="2"/>
        <v>1475656</v>
      </c>
      <c r="I39" s="93">
        <f t="shared" si="3"/>
        <v>1475656</v>
      </c>
      <c r="J39" s="93">
        <f t="shared" si="4"/>
        <v>0</v>
      </c>
      <c r="K39" s="51">
        <f t="shared" si="5"/>
        <v>128011</v>
      </c>
      <c r="L39" s="51">
        <f t="shared" si="6"/>
        <v>563246</v>
      </c>
      <c r="M39" s="51">
        <f t="shared" si="7"/>
        <v>0</v>
      </c>
      <c r="O39" s="51">
        <v>452400</v>
      </c>
      <c r="P39" s="93">
        <v>1001801</v>
      </c>
      <c r="Q39" s="51">
        <v>2851473</v>
      </c>
      <c r="S39" s="93">
        <v>-7173</v>
      </c>
      <c r="T39" s="51">
        <v>-133898</v>
      </c>
      <c r="U39" s="93">
        <v>-2368437</v>
      </c>
      <c r="W39" s="93">
        <v>11788882</v>
      </c>
      <c r="X39" s="93"/>
      <c r="Y39" s="93">
        <v>1793469</v>
      </c>
      <c r="AA39" s="40"/>
    </row>
    <row r="40" spans="1:27" ht="20.100000000000001" customHeight="1" x14ac:dyDescent="0.25">
      <c r="A40" s="46">
        <v>134</v>
      </c>
      <c r="B40" s="63" t="s">
        <v>137</v>
      </c>
      <c r="C40" s="85">
        <f>'MFPRSI Supplemental Info 2016'!D40</f>
        <v>1.560279E-2</v>
      </c>
      <c r="D40" s="85">
        <v>1.4803739999999999E-2</v>
      </c>
      <c r="E40" s="93">
        <f>'MFPRSI Supplemental Info 2016'!W40</f>
        <v>9755815</v>
      </c>
      <c r="F40" s="93">
        <f t="shared" si="0"/>
        <v>9256200</v>
      </c>
      <c r="G40" s="93">
        <f t="shared" si="1"/>
        <v>-499615</v>
      </c>
      <c r="H40" s="93">
        <f t="shared" si="2"/>
        <v>1086760</v>
      </c>
      <c r="I40" s="93">
        <f t="shared" si="3"/>
        <v>1086760</v>
      </c>
      <c r="J40" s="93">
        <f t="shared" si="4"/>
        <v>0</v>
      </c>
      <c r="K40" s="51">
        <f t="shared" si="5"/>
        <v>-92521</v>
      </c>
      <c r="L40" s="51">
        <f t="shared" si="6"/>
        <v>0</v>
      </c>
      <c r="M40" s="51">
        <f t="shared" si="7"/>
        <v>-407094</v>
      </c>
      <c r="O40" s="51">
        <v>333174</v>
      </c>
      <c r="P40" s="93">
        <v>737785</v>
      </c>
      <c r="Q40" s="51">
        <v>2099992</v>
      </c>
      <c r="S40" s="93">
        <v>-5283</v>
      </c>
      <c r="T40" s="51">
        <v>-98610</v>
      </c>
      <c r="U40" s="93">
        <v>-1744256</v>
      </c>
      <c r="W40" s="93">
        <v>8682024</v>
      </c>
      <c r="X40" s="93"/>
      <c r="Y40" s="93">
        <v>1320816</v>
      </c>
      <c r="AA40" s="40"/>
    </row>
    <row r="41" spans="1:27" ht="20.100000000000001" customHeight="1" x14ac:dyDescent="0.25">
      <c r="A41" s="46">
        <v>135</v>
      </c>
      <c r="B41" s="67" t="s">
        <v>138</v>
      </c>
      <c r="C41" s="85">
        <f>'MFPRSI Supplemental Info 2016'!D41</f>
        <v>2.039407E-2</v>
      </c>
      <c r="D41" s="85">
        <v>2.030274E-2</v>
      </c>
      <c r="E41" s="93">
        <f>'MFPRSI Supplemental Info 2016'!W41</f>
        <v>12751615</v>
      </c>
      <c r="F41" s="93">
        <f t="shared" si="0"/>
        <v>12694510</v>
      </c>
      <c r="G41" s="93">
        <f t="shared" si="1"/>
        <v>-57105</v>
      </c>
      <c r="H41" s="93">
        <f t="shared" si="2"/>
        <v>1490448</v>
      </c>
      <c r="I41" s="93">
        <f t="shared" si="3"/>
        <v>1490448</v>
      </c>
      <c r="J41" s="93">
        <f t="shared" si="4"/>
        <v>0</v>
      </c>
      <c r="K41" s="51">
        <f t="shared" si="5"/>
        <v>-10575</v>
      </c>
      <c r="L41" s="51">
        <f t="shared" si="6"/>
        <v>0</v>
      </c>
      <c r="M41" s="51">
        <f t="shared" si="7"/>
        <v>-46530</v>
      </c>
      <c r="O41" s="51">
        <v>456935</v>
      </c>
      <c r="P41" s="93">
        <v>1011843</v>
      </c>
      <c r="Q41" s="51">
        <v>2880056</v>
      </c>
      <c r="S41" s="93">
        <v>-7245</v>
      </c>
      <c r="T41" s="51">
        <v>-135240</v>
      </c>
      <c r="U41" s="93">
        <v>-2392178</v>
      </c>
      <c r="W41" s="93">
        <v>11907051</v>
      </c>
      <c r="X41" s="93"/>
      <c r="Y41" s="93">
        <v>1811447</v>
      </c>
      <c r="AA41" s="40"/>
    </row>
    <row r="42" spans="1:27" ht="20.100000000000001" customHeight="1" x14ac:dyDescent="0.25">
      <c r="A42" s="46">
        <v>136</v>
      </c>
      <c r="B42" s="67" t="s">
        <v>139</v>
      </c>
      <c r="C42" s="85">
        <f>'MFPRSI Supplemental Info 2016'!D42</f>
        <v>1.7214070000000001E-2</v>
      </c>
      <c r="D42" s="85">
        <v>1.8448530000000001E-2</v>
      </c>
      <c r="E42" s="93">
        <f>'MFPRSI Supplemental Info 2016'!W42</f>
        <v>10763285</v>
      </c>
      <c r="F42" s="93">
        <f t="shared" si="0"/>
        <v>11535145</v>
      </c>
      <c r="G42" s="93">
        <f t="shared" si="1"/>
        <v>771860</v>
      </c>
      <c r="H42" s="93">
        <f t="shared" si="2"/>
        <v>1354328</v>
      </c>
      <c r="I42" s="93">
        <f t="shared" si="3"/>
        <v>1354328</v>
      </c>
      <c r="J42" s="93">
        <f t="shared" si="4"/>
        <v>0</v>
      </c>
      <c r="K42" s="51">
        <f t="shared" si="5"/>
        <v>142937</v>
      </c>
      <c r="L42" s="51">
        <f t="shared" si="6"/>
        <v>628923</v>
      </c>
      <c r="M42" s="51">
        <f t="shared" si="7"/>
        <v>0</v>
      </c>
      <c r="O42" s="51">
        <v>415204</v>
      </c>
      <c r="P42" s="93">
        <v>919433</v>
      </c>
      <c r="Q42" s="51">
        <v>2617026</v>
      </c>
      <c r="S42" s="93">
        <v>-6583</v>
      </c>
      <c r="T42" s="51">
        <v>-122889</v>
      </c>
      <c r="U42" s="93">
        <v>-2173705</v>
      </c>
      <c r="W42" s="93">
        <v>10819603</v>
      </c>
      <c r="X42" s="93"/>
      <c r="Y42" s="93">
        <v>1646011</v>
      </c>
      <c r="AA42" s="40"/>
    </row>
    <row r="43" spans="1:27" ht="20.100000000000001" customHeight="1" x14ac:dyDescent="0.25">
      <c r="A43" s="46">
        <v>137</v>
      </c>
      <c r="B43" s="67" t="s">
        <v>140</v>
      </c>
      <c r="C43" s="85">
        <f>'MFPRSI Supplemental Info 2016'!D43</f>
        <v>1.064467E-2</v>
      </c>
      <c r="D43" s="85">
        <v>1.059213E-2</v>
      </c>
      <c r="E43" s="93">
        <f>'MFPRSI Supplemental Info 2016'!W43</f>
        <v>6655696</v>
      </c>
      <c r="F43" s="93">
        <f t="shared" si="0"/>
        <v>6622845</v>
      </c>
      <c r="G43" s="93">
        <f t="shared" si="1"/>
        <v>-32851</v>
      </c>
      <c r="H43" s="93">
        <f t="shared" si="2"/>
        <v>777581</v>
      </c>
      <c r="I43" s="93">
        <f t="shared" si="3"/>
        <v>777581</v>
      </c>
      <c r="J43" s="93">
        <f t="shared" si="4"/>
        <v>0</v>
      </c>
      <c r="K43" s="51">
        <f t="shared" si="5"/>
        <v>-6084</v>
      </c>
      <c r="L43" s="51">
        <f t="shared" si="6"/>
        <v>0</v>
      </c>
      <c r="M43" s="51">
        <f t="shared" si="7"/>
        <v>-26767</v>
      </c>
      <c r="O43" s="51">
        <v>238387</v>
      </c>
      <c r="P43" s="93">
        <v>527888</v>
      </c>
      <c r="Q43" s="51">
        <v>1502552</v>
      </c>
      <c r="S43" s="93">
        <v>-3780</v>
      </c>
      <c r="T43" s="51">
        <v>-70556</v>
      </c>
      <c r="U43" s="93">
        <v>-1248022</v>
      </c>
      <c r="W43" s="93">
        <v>6212020</v>
      </c>
      <c r="X43" s="93"/>
      <c r="Y43" s="93">
        <v>945049</v>
      </c>
      <c r="AA43" s="40"/>
    </row>
    <row r="44" spans="1:27" ht="20.100000000000001" customHeight="1" x14ac:dyDescent="0.25">
      <c r="A44" s="46">
        <v>138</v>
      </c>
      <c r="B44" s="67" t="s">
        <v>141</v>
      </c>
      <c r="C44" s="85">
        <f>'MFPRSI Supplemental Info 2016'!D44</f>
        <v>2.2114299999999999E-3</v>
      </c>
      <c r="D44" s="85">
        <v>2.2644399999999999E-3</v>
      </c>
      <c r="E44" s="93">
        <f>'MFPRSI Supplemental Info 2016'!W44</f>
        <v>1382721</v>
      </c>
      <c r="F44" s="93">
        <f t="shared" si="0"/>
        <v>1415866</v>
      </c>
      <c r="G44" s="93">
        <f t="shared" si="1"/>
        <v>33145</v>
      </c>
      <c r="H44" s="93">
        <f t="shared" si="2"/>
        <v>166235</v>
      </c>
      <c r="I44" s="93">
        <f t="shared" si="3"/>
        <v>166235</v>
      </c>
      <c r="J44" s="93">
        <f t="shared" si="4"/>
        <v>0</v>
      </c>
      <c r="K44" s="51">
        <f t="shared" si="5"/>
        <v>6138</v>
      </c>
      <c r="L44" s="51">
        <f t="shared" si="6"/>
        <v>27007</v>
      </c>
      <c r="M44" s="51">
        <f t="shared" si="7"/>
        <v>0</v>
      </c>
      <c r="O44" s="51">
        <v>50964</v>
      </c>
      <c r="P44" s="93">
        <v>112855</v>
      </c>
      <c r="Q44" s="51">
        <v>321223</v>
      </c>
      <c r="S44" s="93">
        <v>-808</v>
      </c>
      <c r="T44" s="51">
        <v>-15084</v>
      </c>
      <c r="U44" s="93">
        <v>-266809</v>
      </c>
      <c r="W44" s="93">
        <v>1328038</v>
      </c>
      <c r="X44" s="93"/>
      <c r="Y44" s="93">
        <v>202037</v>
      </c>
      <c r="AA44" s="40"/>
    </row>
    <row r="45" spans="1:27" ht="20.100000000000001" customHeight="1" x14ac:dyDescent="0.25">
      <c r="A45" s="46">
        <v>139</v>
      </c>
      <c r="B45" s="63" t="s">
        <v>142</v>
      </c>
      <c r="C45" s="85">
        <f>'MFPRSI Supplemental Info 2016'!D45</f>
        <v>4.8058399999999996E-3</v>
      </c>
      <c r="D45" s="85">
        <v>4.8384400000000003E-3</v>
      </c>
      <c r="E45" s="93">
        <f>'MFPRSI Supplemental Info 2016'!W45</f>
        <v>3004904</v>
      </c>
      <c r="F45" s="93">
        <f t="shared" si="0"/>
        <v>3025288</v>
      </c>
      <c r="G45" s="93">
        <f t="shared" si="1"/>
        <v>20384</v>
      </c>
      <c r="H45" s="93">
        <f t="shared" si="2"/>
        <v>355196</v>
      </c>
      <c r="I45" s="93">
        <f t="shared" si="3"/>
        <v>355196</v>
      </c>
      <c r="J45" s="93">
        <f t="shared" si="4"/>
        <v>0</v>
      </c>
      <c r="K45" s="51">
        <f t="shared" si="5"/>
        <v>3775</v>
      </c>
      <c r="L45" s="51">
        <f t="shared" si="6"/>
        <v>16609</v>
      </c>
      <c r="M45" s="51">
        <f t="shared" si="7"/>
        <v>0</v>
      </c>
      <c r="O45" s="51">
        <v>108894</v>
      </c>
      <c r="P45" s="93">
        <v>241137</v>
      </c>
      <c r="Q45" s="51">
        <v>686359</v>
      </c>
      <c r="S45" s="93">
        <v>-1727</v>
      </c>
      <c r="T45" s="51">
        <v>-32230</v>
      </c>
      <c r="U45" s="93">
        <v>-570091</v>
      </c>
      <c r="W45" s="93">
        <v>2837624</v>
      </c>
      <c r="X45" s="93"/>
      <c r="Y45" s="93">
        <v>431694</v>
      </c>
      <c r="AA45" s="40"/>
    </row>
    <row r="46" spans="1:27" ht="20.100000000000001" customHeight="1" x14ac:dyDescent="0.25">
      <c r="A46" s="46">
        <v>140</v>
      </c>
      <c r="B46" s="67" t="s">
        <v>143</v>
      </c>
      <c r="C46" s="85">
        <f>'MFPRSI Supplemental Info 2016'!D46</f>
        <v>1.432455E-2</v>
      </c>
      <c r="D46" s="85">
        <v>1.443588E-2</v>
      </c>
      <c r="E46" s="93">
        <f>'MFPRSI Supplemental Info 2016'!W46</f>
        <v>8956582</v>
      </c>
      <c r="F46" s="93">
        <f t="shared" si="0"/>
        <v>9026192</v>
      </c>
      <c r="G46" s="93">
        <f t="shared" si="1"/>
        <v>69610</v>
      </c>
      <c r="H46" s="93">
        <f t="shared" si="2"/>
        <v>1059755</v>
      </c>
      <c r="I46" s="93">
        <f t="shared" si="3"/>
        <v>1059755</v>
      </c>
      <c r="J46" s="93">
        <f t="shared" si="4"/>
        <v>0</v>
      </c>
      <c r="K46" s="51">
        <f t="shared" si="5"/>
        <v>12891</v>
      </c>
      <c r="L46" s="51">
        <f t="shared" si="6"/>
        <v>56719</v>
      </c>
      <c r="M46" s="51">
        <f t="shared" si="7"/>
        <v>0</v>
      </c>
      <c r="O46" s="51">
        <v>324895</v>
      </c>
      <c r="P46" s="93">
        <v>719452</v>
      </c>
      <c r="Q46" s="51">
        <v>2047809</v>
      </c>
      <c r="S46" s="93">
        <v>-5151</v>
      </c>
      <c r="T46" s="51">
        <v>-96160</v>
      </c>
      <c r="U46" s="93">
        <v>-1700913</v>
      </c>
      <c r="W46" s="93">
        <v>8466284</v>
      </c>
      <c r="X46" s="93"/>
      <c r="Y46" s="93">
        <v>1287995</v>
      </c>
      <c r="AA46" s="40"/>
    </row>
    <row r="47" spans="1:27" ht="20.100000000000001" customHeight="1" x14ac:dyDescent="0.25">
      <c r="A47" s="46">
        <v>141</v>
      </c>
      <c r="B47" s="68" t="s">
        <v>144</v>
      </c>
      <c r="C47" s="85">
        <f>'MFPRSI Supplemental Info 2016'!D47</f>
        <v>3.34439E-3</v>
      </c>
      <c r="D47" s="85">
        <v>3.4715599999999998E-3</v>
      </c>
      <c r="E47" s="93">
        <f>'MFPRSI Supplemental Info 2016'!W47</f>
        <v>2091116</v>
      </c>
      <c r="F47" s="93">
        <f t="shared" si="0"/>
        <v>2170631</v>
      </c>
      <c r="G47" s="93">
        <f t="shared" si="1"/>
        <v>79515</v>
      </c>
      <c r="H47" s="93">
        <f t="shared" si="2"/>
        <v>254851</v>
      </c>
      <c r="I47" s="93">
        <f t="shared" si="3"/>
        <v>254851</v>
      </c>
      <c r="J47" s="93">
        <f t="shared" si="4"/>
        <v>0</v>
      </c>
      <c r="K47" s="51">
        <f t="shared" si="5"/>
        <v>14725</v>
      </c>
      <c r="L47" s="51">
        <f t="shared" si="6"/>
        <v>64790</v>
      </c>
      <c r="M47" s="51">
        <f t="shared" si="7"/>
        <v>0</v>
      </c>
      <c r="O47" s="51">
        <v>78131</v>
      </c>
      <c r="P47" s="93">
        <v>173015</v>
      </c>
      <c r="Q47" s="51">
        <v>492460</v>
      </c>
      <c r="S47" s="93">
        <v>-1239</v>
      </c>
      <c r="T47" s="51">
        <v>-23125</v>
      </c>
      <c r="U47" s="93">
        <v>-409038</v>
      </c>
      <c r="W47" s="93">
        <v>2035983</v>
      </c>
      <c r="X47" s="93"/>
      <c r="Y47" s="93">
        <v>309739</v>
      </c>
      <c r="AA47" s="40"/>
    </row>
    <row r="48" spans="1:27" ht="20.100000000000001" customHeight="1" x14ac:dyDescent="0.25">
      <c r="A48" s="46">
        <v>142</v>
      </c>
      <c r="B48" s="63" t="s">
        <v>145</v>
      </c>
      <c r="C48" s="85">
        <f>'MFPRSI Supplemental Info 2016'!D48</f>
        <v>6.2975229999999993E-2</v>
      </c>
      <c r="D48" s="85">
        <v>6.4987420000000004E-2</v>
      </c>
      <c r="E48" s="93">
        <f>'MFPRSI Supplemental Info 2016'!W48</f>
        <v>39375951</v>
      </c>
      <c r="F48" s="93">
        <f t="shared" si="0"/>
        <v>40634095</v>
      </c>
      <c r="G48" s="93">
        <f t="shared" si="1"/>
        <v>1258144</v>
      </c>
      <c r="H48" s="93">
        <f t="shared" si="2"/>
        <v>4770802</v>
      </c>
      <c r="I48" s="93">
        <f t="shared" si="3"/>
        <v>4770802</v>
      </c>
      <c r="J48" s="93">
        <f t="shared" si="4"/>
        <v>0</v>
      </c>
      <c r="K48" s="51">
        <f t="shared" si="5"/>
        <v>232990</v>
      </c>
      <c r="L48" s="51">
        <f t="shared" si="6"/>
        <v>1025154</v>
      </c>
      <c r="M48" s="51">
        <f t="shared" si="7"/>
        <v>0</v>
      </c>
      <c r="O48" s="51">
        <v>1462612</v>
      </c>
      <c r="P48" s="93">
        <v>3238826</v>
      </c>
      <c r="Q48" s="51">
        <v>9218824</v>
      </c>
      <c r="S48" s="93">
        <v>-23190</v>
      </c>
      <c r="T48" s="51">
        <v>-432893</v>
      </c>
      <c r="U48" s="93">
        <v>-7657167</v>
      </c>
      <c r="W48" s="93">
        <v>38113501</v>
      </c>
      <c r="X48" s="93"/>
      <c r="Y48" s="93">
        <v>5798293</v>
      </c>
      <c r="AA48" s="40"/>
    </row>
    <row r="49" spans="1:27" ht="20.100000000000001" customHeight="1" x14ac:dyDescent="0.25">
      <c r="A49" s="46">
        <v>143</v>
      </c>
      <c r="B49" s="63" t="s">
        <v>146</v>
      </c>
      <c r="C49" s="85">
        <f>'MFPRSI Supplemental Info 2016'!D49</f>
        <v>5.0313800000000002E-3</v>
      </c>
      <c r="D49" s="85">
        <v>5.0976600000000004E-3</v>
      </c>
      <c r="E49" s="93">
        <f>'MFPRSI Supplemental Info 2016'!W49</f>
        <v>3145925</v>
      </c>
      <c r="F49" s="93">
        <f t="shared" si="0"/>
        <v>3187368</v>
      </c>
      <c r="G49" s="93">
        <f t="shared" si="1"/>
        <v>41443</v>
      </c>
      <c r="H49" s="93">
        <f t="shared" si="2"/>
        <v>374225</v>
      </c>
      <c r="I49" s="93">
        <f t="shared" si="3"/>
        <v>374225</v>
      </c>
      <c r="J49" s="93">
        <f t="shared" si="4"/>
        <v>0</v>
      </c>
      <c r="K49" s="51">
        <f t="shared" si="5"/>
        <v>7675</v>
      </c>
      <c r="L49" s="51">
        <f t="shared" si="6"/>
        <v>33768</v>
      </c>
      <c r="M49" s="51">
        <f t="shared" si="7"/>
        <v>0</v>
      </c>
      <c r="O49" s="51">
        <v>114728</v>
      </c>
      <c r="P49" s="93">
        <v>254056</v>
      </c>
      <c r="Q49" s="51">
        <v>723131</v>
      </c>
      <c r="S49" s="93">
        <v>-1819</v>
      </c>
      <c r="T49" s="51">
        <v>-33956</v>
      </c>
      <c r="U49" s="93">
        <v>-600634</v>
      </c>
      <c r="W49" s="93">
        <v>2989650</v>
      </c>
      <c r="X49" s="93"/>
      <c r="Y49" s="93">
        <v>454822</v>
      </c>
      <c r="AA49" s="40"/>
    </row>
    <row r="50" spans="1:27" ht="20.100000000000001" customHeight="1" x14ac:dyDescent="0.25">
      <c r="A50" s="46">
        <v>144</v>
      </c>
      <c r="B50" s="63" t="s">
        <v>147</v>
      </c>
      <c r="C50" s="85">
        <f>'MFPRSI Supplemental Info 2016'!D50</f>
        <v>3.3881200000000001E-3</v>
      </c>
      <c r="D50" s="85">
        <v>3.6767000000000002E-3</v>
      </c>
      <c r="E50" s="93">
        <f>'MFPRSI Supplemental Info 2016'!W50</f>
        <v>2118459</v>
      </c>
      <c r="F50" s="93">
        <f t="shared" si="0"/>
        <v>2298897</v>
      </c>
      <c r="G50" s="93">
        <f t="shared" si="1"/>
        <v>180438</v>
      </c>
      <c r="H50" s="93">
        <f t="shared" si="2"/>
        <v>269911</v>
      </c>
      <c r="I50" s="93">
        <f t="shared" si="3"/>
        <v>269911</v>
      </c>
      <c r="J50" s="93">
        <f t="shared" si="4"/>
        <v>0</v>
      </c>
      <c r="K50" s="51">
        <f t="shared" si="5"/>
        <v>33414</v>
      </c>
      <c r="L50" s="51">
        <f t="shared" si="6"/>
        <v>147024</v>
      </c>
      <c r="M50" s="51">
        <f t="shared" si="7"/>
        <v>0</v>
      </c>
      <c r="O50" s="51">
        <v>82748</v>
      </c>
      <c r="P50" s="93">
        <v>183238</v>
      </c>
      <c r="Q50" s="51">
        <v>521560</v>
      </c>
      <c r="S50" s="93">
        <v>-1312</v>
      </c>
      <c r="T50" s="51">
        <v>-24491</v>
      </c>
      <c r="U50" s="93">
        <v>-433209</v>
      </c>
      <c r="W50" s="93">
        <v>2156293</v>
      </c>
      <c r="X50" s="93"/>
      <c r="Y50" s="93">
        <v>328042</v>
      </c>
      <c r="AA50" s="40"/>
    </row>
    <row r="51" spans="1:27" ht="20.100000000000001" customHeight="1" x14ac:dyDescent="0.25">
      <c r="A51" s="46">
        <v>145</v>
      </c>
      <c r="B51" s="63" t="s">
        <v>148</v>
      </c>
      <c r="C51" s="85">
        <f>'MFPRSI Supplemental Info 2016'!D51</f>
        <v>1.9366149999999999E-2</v>
      </c>
      <c r="D51" s="85">
        <v>2.0280490000000002E-2</v>
      </c>
      <c r="E51" s="93">
        <f>'MFPRSI Supplemental Info 2016'!W51</f>
        <v>12108897</v>
      </c>
      <c r="F51" s="93">
        <f t="shared" si="0"/>
        <v>12680598</v>
      </c>
      <c r="G51" s="93">
        <f t="shared" si="1"/>
        <v>571701</v>
      </c>
      <c r="H51" s="93">
        <f t="shared" si="2"/>
        <v>1488814</v>
      </c>
      <c r="I51" s="93">
        <f t="shared" si="3"/>
        <v>1488814</v>
      </c>
      <c r="J51" s="93">
        <f t="shared" si="4"/>
        <v>0</v>
      </c>
      <c r="K51" s="51">
        <f t="shared" si="5"/>
        <v>105871</v>
      </c>
      <c r="L51" s="51">
        <f t="shared" si="6"/>
        <v>465830</v>
      </c>
      <c r="M51" s="51">
        <f t="shared" si="7"/>
        <v>0</v>
      </c>
      <c r="O51" s="51">
        <v>456434</v>
      </c>
      <c r="P51" s="93">
        <v>1010734</v>
      </c>
      <c r="Q51" s="51">
        <v>2876899</v>
      </c>
      <c r="S51" s="93">
        <v>-7237</v>
      </c>
      <c r="T51" s="51">
        <v>-135092</v>
      </c>
      <c r="U51" s="93">
        <v>-2389556</v>
      </c>
      <c r="W51" s="93">
        <v>11894002</v>
      </c>
      <c r="X51" s="93"/>
      <c r="Y51" s="93">
        <v>1809461</v>
      </c>
      <c r="AA51" s="40"/>
    </row>
    <row r="52" spans="1:27" ht="20.100000000000001" customHeight="1" x14ac:dyDescent="0.25">
      <c r="A52" s="46">
        <v>146</v>
      </c>
      <c r="B52" s="63" t="s">
        <v>149</v>
      </c>
      <c r="C52" s="85">
        <f>'MFPRSI Supplemental Info 2016'!D52</f>
        <v>5.6883620000000003E-2</v>
      </c>
      <c r="D52" s="85">
        <v>5.7032859999999998E-2</v>
      </c>
      <c r="E52" s="93">
        <f>'MFPRSI Supplemental Info 2016'!W52</f>
        <v>35567105</v>
      </c>
      <c r="F52" s="93">
        <f t="shared" si="0"/>
        <v>35660419</v>
      </c>
      <c r="G52" s="93">
        <f t="shared" si="1"/>
        <v>93314</v>
      </c>
      <c r="H52" s="93">
        <f t="shared" si="2"/>
        <v>4186849</v>
      </c>
      <c r="I52" s="93">
        <f t="shared" si="3"/>
        <v>4186849</v>
      </c>
      <c r="J52" s="93">
        <f t="shared" si="4"/>
        <v>0</v>
      </c>
      <c r="K52" s="51">
        <f t="shared" si="5"/>
        <v>17280</v>
      </c>
      <c r="L52" s="51">
        <f t="shared" si="6"/>
        <v>76034</v>
      </c>
      <c r="M52" s="51">
        <f t="shared" si="7"/>
        <v>0</v>
      </c>
      <c r="O52" s="51">
        <v>1283586</v>
      </c>
      <c r="P52" s="93">
        <v>2842389</v>
      </c>
      <c r="Q52" s="51">
        <v>8090426</v>
      </c>
      <c r="S52" s="93">
        <v>-20352</v>
      </c>
      <c r="T52" s="51">
        <v>-379906</v>
      </c>
      <c r="U52" s="93">
        <v>-6719918</v>
      </c>
      <c r="W52" s="93">
        <v>33448350</v>
      </c>
      <c r="X52" s="93"/>
      <c r="Y52" s="93">
        <v>5088573</v>
      </c>
      <c r="AA52" s="40"/>
    </row>
    <row r="53" spans="1:27" ht="20.100000000000001" customHeight="1" x14ac:dyDescent="0.25">
      <c r="A53" s="46">
        <v>147</v>
      </c>
      <c r="B53" s="63" t="s">
        <v>150</v>
      </c>
      <c r="C53" s="85">
        <f>'MFPRSI Supplemental Info 2016'!D53</f>
        <v>3.6576400000000002E-3</v>
      </c>
      <c r="D53" s="85">
        <v>3.6385499999999999E-3</v>
      </c>
      <c r="E53" s="93">
        <f>'MFPRSI Supplemental Info 2016'!W53</f>
        <v>2286979</v>
      </c>
      <c r="F53" s="93">
        <f t="shared" si="0"/>
        <v>2275043</v>
      </c>
      <c r="G53" s="93">
        <f t="shared" si="1"/>
        <v>-11936</v>
      </c>
      <c r="H53" s="93">
        <f t="shared" si="2"/>
        <v>267110</v>
      </c>
      <c r="I53" s="93">
        <f t="shared" si="3"/>
        <v>267110</v>
      </c>
      <c r="J53" s="93">
        <f t="shared" si="4"/>
        <v>0</v>
      </c>
      <c r="K53" s="51">
        <f t="shared" si="5"/>
        <v>-2210</v>
      </c>
      <c r="L53" s="51">
        <f t="shared" si="6"/>
        <v>0</v>
      </c>
      <c r="M53" s="51">
        <f t="shared" si="7"/>
        <v>-9726</v>
      </c>
      <c r="O53" s="51">
        <v>81889</v>
      </c>
      <c r="P53" s="93">
        <v>181337</v>
      </c>
      <c r="Q53" s="51">
        <v>516148</v>
      </c>
      <c r="S53" s="93">
        <v>-1298</v>
      </c>
      <c r="T53" s="51">
        <v>-24237</v>
      </c>
      <c r="U53" s="93">
        <v>-428714</v>
      </c>
      <c r="W53" s="93">
        <v>2133919</v>
      </c>
      <c r="X53" s="93"/>
      <c r="Y53" s="93">
        <v>324638</v>
      </c>
      <c r="AA53" s="40"/>
    </row>
    <row r="54" spans="1:27" ht="20.100000000000001" customHeight="1" x14ac:dyDescent="0.25">
      <c r="A54" s="46">
        <v>148</v>
      </c>
      <c r="B54" s="63" t="s">
        <v>151</v>
      </c>
      <c r="C54" s="85">
        <f>'MFPRSI Supplemental Info 2016'!D54</f>
        <v>3.1196700000000002E-3</v>
      </c>
      <c r="D54" s="85">
        <v>3.0700100000000002E-3</v>
      </c>
      <c r="E54" s="93">
        <f>'MFPRSI Supplemental Info 2016'!W54</f>
        <v>1950608</v>
      </c>
      <c r="F54" s="93">
        <f t="shared" si="0"/>
        <v>1919557</v>
      </c>
      <c r="G54" s="93">
        <f t="shared" si="1"/>
        <v>-31051</v>
      </c>
      <c r="H54" s="93">
        <f t="shared" si="2"/>
        <v>225373</v>
      </c>
      <c r="I54" s="93">
        <f t="shared" si="3"/>
        <v>225373</v>
      </c>
      <c r="J54" s="93">
        <f t="shared" si="4"/>
        <v>0</v>
      </c>
      <c r="K54" s="51">
        <f t="shared" si="5"/>
        <v>-5750</v>
      </c>
      <c r="L54" s="51">
        <f t="shared" si="6"/>
        <v>0</v>
      </c>
      <c r="M54" s="51">
        <f t="shared" si="7"/>
        <v>-25301</v>
      </c>
      <c r="O54" s="51">
        <v>69094</v>
      </c>
      <c r="P54" s="93">
        <v>153002</v>
      </c>
      <c r="Q54" s="51">
        <v>435498</v>
      </c>
      <c r="S54" s="93">
        <v>-1096</v>
      </c>
      <c r="T54" s="51">
        <v>-20450</v>
      </c>
      <c r="U54" s="93">
        <v>-361725</v>
      </c>
      <c r="W54" s="93">
        <v>1800484</v>
      </c>
      <c r="X54" s="93"/>
      <c r="Y54" s="93">
        <v>273912</v>
      </c>
      <c r="AA54" s="40"/>
    </row>
    <row r="55" spans="1:27" ht="19.5" customHeight="1" x14ac:dyDescent="0.25">
      <c r="A55" s="46">
        <v>149</v>
      </c>
      <c r="B55" s="63" t="s">
        <v>152</v>
      </c>
      <c r="C55" s="85">
        <f>'MFPRSI Supplemental Info 2016'!D55</f>
        <v>3.1945040000000001E-2</v>
      </c>
      <c r="D55" s="85">
        <v>3.1571500000000002E-2</v>
      </c>
      <c r="E55" s="93">
        <f>'MFPRSI Supplemental Info 2016'!W55</f>
        <v>19973986</v>
      </c>
      <c r="F55" s="93">
        <f>ROUND($E$57*D55,0)</f>
        <v>19740426</v>
      </c>
      <c r="G55" s="93">
        <f t="shared" si="1"/>
        <v>-233560</v>
      </c>
      <c r="H55" s="93">
        <f t="shared" si="2"/>
        <v>2317701</v>
      </c>
      <c r="I55" s="93">
        <f t="shared" si="3"/>
        <v>2317701</v>
      </c>
      <c r="J55" s="93">
        <f t="shared" si="4"/>
        <v>0</v>
      </c>
      <c r="K55" s="51">
        <f t="shared" si="5"/>
        <v>-43252</v>
      </c>
      <c r="L55" s="51">
        <f t="shared" si="6"/>
        <v>0</v>
      </c>
      <c r="M55" s="51">
        <f t="shared" si="7"/>
        <v>-190308</v>
      </c>
      <c r="O55" s="51">
        <v>710550</v>
      </c>
      <c r="P55" s="93">
        <v>1573452</v>
      </c>
      <c r="Q55" s="51">
        <v>4478592</v>
      </c>
      <c r="S55" s="93">
        <v>-11266</v>
      </c>
      <c r="T55" s="51">
        <v>-210304</v>
      </c>
      <c r="U55" s="93">
        <v>-3719924</v>
      </c>
      <c r="W55" s="93">
        <v>18515897</v>
      </c>
      <c r="X55" s="93"/>
      <c r="Y55" s="93">
        <v>2816866</v>
      </c>
      <c r="AA55" s="40"/>
    </row>
    <row r="56" spans="1:27" x14ac:dyDescent="0.25">
      <c r="E56" s="94"/>
      <c r="U56" s="93"/>
      <c r="W56" s="51"/>
      <c r="X56" s="51"/>
      <c r="Y56" s="93"/>
    </row>
    <row r="57" spans="1:27" x14ac:dyDescent="0.25">
      <c r="C57" s="89">
        <f t="shared" ref="C57:I57" si="8">SUM(C7:C56)</f>
        <v>0.99999999000000006</v>
      </c>
      <c r="D57" s="89">
        <f t="shared" si="8"/>
        <v>0.99999999999999989</v>
      </c>
      <c r="E57" s="93">
        <f>SUM(E7:E56)+E61</f>
        <v>625260934</v>
      </c>
      <c r="F57" s="93">
        <f>SUM(F7:F56)+F61</f>
        <v>625260941</v>
      </c>
      <c r="G57" s="93">
        <f>SUM(G7:G56)+G61</f>
        <v>7</v>
      </c>
      <c r="H57" s="93">
        <f>SUM(H7:H56)+H61</f>
        <v>73411165</v>
      </c>
      <c r="I57" s="94">
        <f t="shared" si="8"/>
        <v>73411166</v>
      </c>
      <c r="J57" s="90">
        <f>SUM(J7:J56)</f>
        <v>0</v>
      </c>
      <c r="K57" s="90"/>
      <c r="L57" s="93">
        <f t="shared" ref="L57" si="9">SUM(L7:L56)</f>
        <v>6391593</v>
      </c>
      <c r="M57" s="93">
        <f>SUM(M7:M56)</f>
        <v>-6391593</v>
      </c>
      <c r="O57" s="93">
        <f>SUM(O7:O56)</f>
        <v>22506072</v>
      </c>
      <c r="P57" s="93">
        <f>SUM(P7:P56)</f>
        <v>49837735</v>
      </c>
      <c r="Q57" s="93">
        <f>SUM(Q7:Q56)</f>
        <v>141855521</v>
      </c>
      <c r="S57" s="93">
        <f>SUM(S7:S56)+S61</f>
        <v>-356841</v>
      </c>
      <c r="T57" s="93">
        <f>SUM(T7:T56)+T61</f>
        <v>-6661184</v>
      </c>
      <c r="U57" s="93">
        <f>SUM(U7:U56)+U61</f>
        <v>-117825376</v>
      </c>
      <c r="V57" s="93"/>
      <c r="W57" s="93">
        <f>SUM(W7:W56)+W61</f>
        <v>586475060</v>
      </c>
      <c r="X57" s="93"/>
      <c r="Y57" s="93">
        <f>SUM(Y7:Y56)+Y61</f>
        <v>89221778</v>
      </c>
    </row>
    <row r="58" spans="1:27" x14ac:dyDescent="0.25">
      <c r="C58" s="89"/>
      <c r="D58" s="89"/>
      <c r="E58" s="93"/>
      <c r="F58" s="93"/>
      <c r="H58" s="94"/>
      <c r="K58" s="90"/>
      <c r="L58" s="93"/>
      <c r="M58" s="93"/>
      <c r="O58" s="93"/>
      <c r="P58" s="93"/>
      <c r="Q58" s="93"/>
      <c r="S58" s="93"/>
      <c r="T58" s="93"/>
      <c r="U58" s="93"/>
      <c r="V58" s="93"/>
      <c r="W58" s="93"/>
      <c r="X58" s="93"/>
      <c r="Y58" s="93"/>
    </row>
    <row r="59" spans="1:27" x14ac:dyDescent="0.25">
      <c r="E59" s="93"/>
      <c r="F59" s="93"/>
      <c r="K59" s="90"/>
      <c r="L59" s="93"/>
      <c r="M59" s="93"/>
      <c r="O59" t="s">
        <v>60</v>
      </c>
      <c r="P59" s="50"/>
      <c r="Q59" s="89"/>
      <c r="R59" s="89"/>
      <c r="S59" s="94"/>
      <c r="T59" s="94"/>
      <c r="U59" s="90">
        <v>5.4</v>
      </c>
      <c r="V59" s="28" t="s">
        <v>61</v>
      </c>
      <c r="W59" s="93"/>
      <c r="X59" s="93"/>
      <c r="Y59" s="93"/>
    </row>
    <row r="60" spans="1:27" x14ac:dyDescent="0.25">
      <c r="E60" s="50"/>
      <c r="F60" s="50"/>
      <c r="O60" t="s">
        <v>196</v>
      </c>
      <c r="U60" s="99">
        <v>73411163</v>
      </c>
    </row>
    <row r="61" spans="1:27" x14ac:dyDescent="0.25">
      <c r="B61" s="50" t="s">
        <v>153</v>
      </c>
      <c r="E61" s="50">
        <v>0</v>
      </c>
      <c r="F61" s="50">
        <v>7</v>
      </c>
      <c r="G61" s="90">
        <v>7</v>
      </c>
      <c r="H61" s="90">
        <v>-1</v>
      </c>
      <c r="K61" s="50">
        <v>-1</v>
      </c>
      <c r="S61" s="50">
        <v>3</v>
      </c>
      <c r="T61" s="50">
        <v>-2</v>
      </c>
      <c r="U61" s="93">
        <v>1</v>
      </c>
      <c r="W61" s="50">
        <v>0</v>
      </c>
      <c r="Y61" s="50">
        <v>0</v>
      </c>
    </row>
  </sheetData>
  <mergeCells count="3">
    <mergeCell ref="K3:M3"/>
    <mergeCell ref="O3:Q3"/>
    <mergeCell ref="S3:U3"/>
  </mergeCells>
  <pageMargins left="0.5" right="0.25" top="1" bottom="0.5" header="0.3" footer="0.3"/>
  <pageSetup orientation="landscape" r:id="rId1"/>
  <headerFooter>
    <oddHeader>&amp;L&amp;"-,Bold"&amp;14MUNICIPAL FIRE AND POLICE RETIREMENT SYSTEM OF IOWA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61"/>
  <sheetViews>
    <sheetView zoomScaleNormal="100" workbookViewId="0">
      <pane xSplit="2" ySplit="6" topLeftCell="C37" activePane="bottomRight" state="frozen"/>
      <selection pane="topRight" activeCell="C1" sqref="C1"/>
      <selection pane="bottomLeft" activeCell="A7" sqref="A7"/>
      <selection pane="bottomRight" activeCell="F61" sqref="F61"/>
    </sheetView>
  </sheetViews>
  <sheetFormatPr defaultRowHeight="15" x14ac:dyDescent="0.25"/>
  <cols>
    <col min="1" max="1" width="3.5703125" style="46" bestFit="1" customWidth="1"/>
    <col min="2" max="2" width="15" style="50" bestFit="1" customWidth="1"/>
    <col min="3" max="3" width="10.7109375" style="85" bestFit="1" customWidth="1"/>
    <col min="4" max="4" width="10.7109375" style="90" bestFit="1" customWidth="1"/>
    <col min="5" max="5" width="11.140625" style="90" bestFit="1" customWidth="1"/>
    <col min="6" max="6" width="10.7109375" style="90" bestFit="1" customWidth="1"/>
    <col min="7" max="7" width="9.7109375" style="90" bestFit="1" customWidth="1"/>
    <col min="8" max="9" width="9.85546875" style="90" bestFit="1" customWidth="1"/>
    <col min="10" max="10" width="11.140625" style="90" customWidth="1"/>
    <col min="11" max="11" width="8.7109375" style="50" bestFit="1" customWidth="1"/>
    <col min="12" max="12" width="9.28515625" style="50" bestFit="1" customWidth="1"/>
    <col min="13" max="13" width="9.7109375" style="50" bestFit="1" customWidth="1"/>
    <col min="14" max="14" width="0.85546875" style="50" customWidth="1"/>
    <col min="15" max="15" width="10.7109375" style="50" bestFit="1" customWidth="1"/>
    <col min="16" max="16" width="12.42578125" style="51" bestFit="1" customWidth="1"/>
    <col min="17" max="17" width="10.7109375" style="50" customWidth="1"/>
    <col min="18" max="18" width="2.28515625" style="50" customWidth="1"/>
    <col min="19" max="19" width="10.7109375" style="50" bestFit="1" customWidth="1"/>
    <col min="20" max="20" width="11.7109375" style="50" customWidth="1"/>
    <col min="21" max="21" width="12.7109375" style="50" bestFit="1" customWidth="1"/>
    <col min="22" max="22" width="2.28515625" style="50" customWidth="1"/>
    <col min="23" max="23" width="12.7109375" style="50" bestFit="1" customWidth="1"/>
    <col min="24" max="24" width="2.28515625" style="50" customWidth="1"/>
    <col min="25" max="25" width="11.140625" style="50" bestFit="1" customWidth="1"/>
    <col min="27" max="27" width="11.28515625" bestFit="1" customWidth="1"/>
  </cols>
  <sheetData>
    <row r="1" spans="1:27" x14ac:dyDescent="0.25">
      <c r="C1" s="47" t="s">
        <v>157</v>
      </c>
      <c r="O1" s="47" t="s">
        <v>158</v>
      </c>
    </row>
    <row r="3" spans="1:27" x14ac:dyDescent="0.25">
      <c r="H3" s="91" t="s">
        <v>78</v>
      </c>
      <c r="K3" s="170" t="s">
        <v>79</v>
      </c>
      <c r="L3" s="170"/>
      <c r="M3" s="170"/>
      <c r="O3" s="171" t="s">
        <v>27</v>
      </c>
      <c r="P3" s="171"/>
      <c r="Q3" s="171"/>
      <c r="S3" s="171" t="s">
        <v>30</v>
      </c>
      <c r="T3" s="171"/>
      <c r="U3" s="171"/>
    </row>
    <row r="4" spans="1:27" x14ac:dyDescent="0.25">
      <c r="C4" s="86">
        <v>42185</v>
      </c>
      <c r="D4" s="86">
        <v>42551</v>
      </c>
      <c r="E4" s="86">
        <v>42185</v>
      </c>
      <c r="G4" s="91" t="s">
        <v>80</v>
      </c>
      <c r="H4" s="91" t="s">
        <v>49</v>
      </c>
      <c r="I4" s="91" t="s">
        <v>49</v>
      </c>
      <c r="J4" s="91" t="s">
        <v>81</v>
      </c>
      <c r="O4" s="91" t="s">
        <v>82</v>
      </c>
      <c r="Q4" s="91" t="s">
        <v>83</v>
      </c>
      <c r="R4" s="91"/>
      <c r="S4" s="91" t="s">
        <v>82</v>
      </c>
      <c r="U4" s="91" t="s">
        <v>83</v>
      </c>
      <c r="V4" s="91"/>
      <c r="W4" s="91" t="s">
        <v>159</v>
      </c>
      <c r="X4" s="91"/>
      <c r="Y4" s="46" t="s">
        <v>84</v>
      </c>
    </row>
    <row r="5" spans="1:27" x14ac:dyDescent="0.25">
      <c r="A5" s="46" t="s">
        <v>154</v>
      </c>
      <c r="C5" s="87" t="s">
        <v>85</v>
      </c>
      <c r="D5" s="87" t="s">
        <v>85</v>
      </c>
      <c r="E5" s="91" t="s">
        <v>86</v>
      </c>
      <c r="F5" s="91" t="s">
        <v>87</v>
      </c>
      <c r="G5" s="91" t="s">
        <v>85</v>
      </c>
      <c r="H5" s="91" t="s">
        <v>88</v>
      </c>
      <c r="I5" s="91" t="s">
        <v>88</v>
      </c>
      <c r="J5" s="91" t="s">
        <v>89</v>
      </c>
      <c r="K5" s="91" t="s">
        <v>90</v>
      </c>
      <c r="L5" s="46" t="s">
        <v>91</v>
      </c>
      <c r="M5" s="46" t="s">
        <v>91</v>
      </c>
      <c r="O5" s="46" t="s">
        <v>92</v>
      </c>
      <c r="P5" s="97" t="s">
        <v>160</v>
      </c>
      <c r="Q5" s="46" t="s">
        <v>92</v>
      </c>
      <c r="R5" s="46"/>
      <c r="S5" s="46" t="s">
        <v>92</v>
      </c>
      <c r="T5" s="91" t="s">
        <v>160</v>
      </c>
      <c r="U5" s="46" t="s">
        <v>92</v>
      </c>
      <c r="V5" s="46"/>
      <c r="W5" s="91" t="s">
        <v>87</v>
      </c>
      <c r="X5" s="91"/>
      <c r="Y5" s="46" t="s">
        <v>90</v>
      </c>
    </row>
    <row r="6" spans="1:27" ht="20.100000000000001" customHeight="1" x14ac:dyDescent="0.35">
      <c r="A6" s="53" t="s">
        <v>155</v>
      </c>
      <c r="B6" s="57" t="s">
        <v>93</v>
      </c>
      <c r="C6" s="88" t="s">
        <v>94</v>
      </c>
      <c r="D6" s="88" t="s">
        <v>94</v>
      </c>
      <c r="E6" s="92" t="s">
        <v>95</v>
      </c>
      <c r="F6" s="95">
        <v>42185</v>
      </c>
      <c r="G6" s="92" t="s">
        <v>96</v>
      </c>
      <c r="H6" s="92" t="s">
        <v>97</v>
      </c>
      <c r="I6" s="92" t="s">
        <v>97</v>
      </c>
      <c r="J6" s="92" t="s">
        <v>98</v>
      </c>
      <c r="K6" s="92" t="s">
        <v>56</v>
      </c>
      <c r="L6" s="92" t="s">
        <v>99</v>
      </c>
      <c r="M6" s="96" t="s">
        <v>100</v>
      </c>
      <c r="O6" s="96" t="s">
        <v>101</v>
      </c>
      <c r="P6" s="98" t="s">
        <v>102</v>
      </c>
      <c r="Q6" s="96" t="s">
        <v>103</v>
      </c>
      <c r="R6" s="96"/>
      <c r="S6" s="96" t="s">
        <v>101</v>
      </c>
      <c r="T6" s="96" t="s">
        <v>102</v>
      </c>
      <c r="U6" s="96" t="s">
        <v>103</v>
      </c>
      <c r="V6" s="96"/>
      <c r="W6" s="95">
        <v>42551</v>
      </c>
      <c r="X6" s="95"/>
      <c r="Y6" s="96" t="s">
        <v>56</v>
      </c>
    </row>
    <row r="7" spans="1:27" ht="20.100000000000001" customHeight="1" x14ac:dyDescent="0.25">
      <c r="A7" s="46">
        <v>101</v>
      </c>
      <c r="B7" s="63" t="s">
        <v>104</v>
      </c>
      <c r="C7" s="85">
        <f>'MFPRSI Supplemental Info 2015'!D7</f>
        <v>2.6967266512861493E-2</v>
      </c>
      <c r="D7" s="85">
        <v>2.6499450000000001E-2</v>
      </c>
      <c r="E7" s="93">
        <f>'MFPRSI Supplemental Info 2015'!W7</f>
        <v>12669610</v>
      </c>
      <c r="F7" s="93">
        <f>ROUND($E$57*D7,0)</f>
        <v>12449821</v>
      </c>
      <c r="G7" s="93">
        <f>F7-E7</f>
        <v>-219789</v>
      </c>
      <c r="H7" s="93">
        <f>ROUND(D7*$U$60,0)</f>
        <v>1994209</v>
      </c>
      <c r="I7" s="93">
        <f>H7</f>
        <v>1994209</v>
      </c>
      <c r="J7" s="93">
        <f>H7-I7</f>
        <v>0</v>
      </c>
      <c r="K7" s="51">
        <f>ROUND((G7+J7)/$U$59,0)</f>
        <v>-39962</v>
      </c>
      <c r="L7" s="66">
        <f>IF(K7&lt;0,0,G7+J7-K7)</f>
        <v>0</v>
      </c>
      <c r="M7" s="51">
        <f>IF(G7&lt;0,(G7+J7-K7),0)</f>
        <v>-179827</v>
      </c>
      <c r="O7" s="51">
        <v>427627</v>
      </c>
      <c r="P7" s="93">
        <v>699555</v>
      </c>
      <c r="Q7" s="51">
        <v>5187554</v>
      </c>
      <c r="S7" s="93">
        <v>-15366</v>
      </c>
      <c r="T7" s="51">
        <v>-226951</v>
      </c>
      <c r="U7" s="93">
        <v>-2257759</v>
      </c>
      <c r="W7" s="93">
        <v>16569071</v>
      </c>
      <c r="X7" s="93"/>
      <c r="Y7" s="93">
        <v>2267445</v>
      </c>
      <c r="AA7" s="40"/>
    </row>
    <row r="8" spans="1:27" ht="20.100000000000001" customHeight="1" x14ac:dyDescent="0.25">
      <c r="A8" s="46">
        <v>102</v>
      </c>
      <c r="B8" s="63" t="s">
        <v>105</v>
      </c>
      <c r="C8" s="85">
        <f>'MFPRSI Supplemental Info 2015'!D8</f>
        <v>1.786951583797167E-2</v>
      </c>
      <c r="D8" s="85">
        <v>1.871985E-2</v>
      </c>
      <c r="E8" s="93">
        <f>'MFPRSI Supplemental Info 2015'!W8</f>
        <v>8395357</v>
      </c>
      <c r="F8" s="93">
        <f t="shared" ref="F8:F55" si="0">ROUND($E$57*D8,0)</f>
        <v>8794854</v>
      </c>
      <c r="G8" s="93">
        <f t="shared" ref="G8:G55" si="1">F8-E8</f>
        <v>399497</v>
      </c>
      <c r="H8" s="93">
        <f t="shared" ref="H8:H55" si="2">ROUND(D8*$U$60,0)</f>
        <v>1408757</v>
      </c>
      <c r="I8" s="93">
        <f t="shared" ref="I8:I55" si="3">H8</f>
        <v>1408757</v>
      </c>
      <c r="J8" s="93">
        <f t="shared" ref="J8:J55" si="4">H8-I8</f>
        <v>0</v>
      </c>
      <c r="K8" s="51">
        <f t="shared" ref="K8:K55" si="5">ROUND((G8+J8)/$U$59,0)</f>
        <v>72636</v>
      </c>
      <c r="L8" s="51">
        <f t="shared" ref="L8:L55" si="6">IF(K8&lt;0,0,G8+J8-K8)</f>
        <v>326861</v>
      </c>
      <c r="M8" s="51">
        <f t="shared" ref="M8:M55" si="7">IF(G8&lt;0,(G8+J8-K8),0)</f>
        <v>0</v>
      </c>
      <c r="O8" s="51">
        <v>302086</v>
      </c>
      <c r="P8" s="93">
        <v>494183</v>
      </c>
      <c r="Q8" s="51">
        <v>3664613</v>
      </c>
      <c r="S8" s="93">
        <v>-10855</v>
      </c>
      <c r="T8" s="51">
        <v>-160324</v>
      </c>
      <c r="U8" s="93">
        <v>-1594935</v>
      </c>
      <c r="W8" s="93">
        <v>11704791</v>
      </c>
      <c r="X8" s="93"/>
      <c r="Y8" s="93">
        <v>1601778</v>
      </c>
      <c r="AA8" s="40"/>
    </row>
    <row r="9" spans="1:27" ht="20.100000000000001" customHeight="1" x14ac:dyDescent="0.25">
      <c r="A9" s="46">
        <v>103</v>
      </c>
      <c r="B9" s="63" t="s">
        <v>106</v>
      </c>
      <c r="C9" s="85">
        <f>'MFPRSI Supplemental Info 2015'!D9</f>
        <v>1.8702291765798074E-2</v>
      </c>
      <c r="D9" s="85">
        <v>1.8706150000000001E-2</v>
      </c>
      <c r="E9" s="93">
        <f>'MFPRSI Supplemental Info 2015'!W9</f>
        <v>8786604</v>
      </c>
      <c r="F9" s="93">
        <f t="shared" si="0"/>
        <v>8788417</v>
      </c>
      <c r="G9" s="93">
        <f t="shared" si="1"/>
        <v>1813</v>
      </c>
      <c r="H9" s="93">
        <f t="shared" si="2"/>
        <v>1407726</v>
      </c>
      <c r="I9" s="93">
        <f t="shared" si="3"/>
        <v>1407726</v>
      </c>
      <c r="J9" s="93">
        <f t="shared" si="4"/>
        <v>0</v>
      </c>
      <c r="K9" s="51">
        <f t="shared" si="5"/>
        <v>330</v>
      </c>
      <c r="L9" s="51">
        <f t="shared" si="6"/>
        <v>1483</v>
      </c>
      <c r="M9" s="51">
        <f t="shared" si="7"/>
        <v>0</v>
      </c>
      <c r="O9" s="51">
        <v>301865</v>
      </c>
      <c r="P9" s="93">
        <v>493821</v>
      </c>
      <c r="Q9" s="51">
        <v>3661931</v>
      </c>
      <c r="S9" s="93">
        <v>-10847</v>
      </c>
      <c r="T9" s="51">
        <v>-160207</v>
      </c>
      <c r="U9" s="93">
        <v>-1593768</v>
      </c>
      <c r="W9" s="93">
        <v>11696225</v>
      </c>
      <c r="X9" s="93"/>
      <c r="Y9" s="93">
        <v>1600606</v>
      </c>
      <c r="AA9" s="40"/>
    </row>
    <row r="10" spans="1:27" ht="20.100000000000001" customHeight="1" x14ac:dyDescent="0.25">
      <c r="A10" s="46">
        <v>104</v>
      </c>
      <c r="B10" s="63" t="s">
        <v>107</v>
      </c>
      <c r="C10" s="85">
        <f>'MFPRSI Supplemental Info 2015'!D10</f>
        <v>5.9148746335108164E-3</v>
      </c>
      <c r="D10" s="85">
        <v>5.8720899999999999E-3</v>
      </c>
      <c r="E10" s="93">
        <f>'MFPRSI Supplemental Info 2015'!W10</f>
        <v>2778891</v>
      </c>
      <c r="F10" s="93">
        <f t="shared" si="0"/>
        <v>2758792</v>
      </c>
      <c r="G10" s="93">
        <f t="shared" si="1"/>
        <v>-20099</v>
      </c>
      <c r="H10" s="93">
        <f t="shared" si="2"/>
        <v>441903</v>
      </c>
      <c r="I10" s="93">
        <f t="shared" si="3"/>
        <v>441903</v>
      </c>
      <c r="J10" s="93">
        <f t="shared" si="4"/>
        <v>0</v>
      </c>
      <c r="K10" s="51">
        <f t="shared" si="5"/>
        <v>-3654</v>
      </c>
      <c r="L10" s="51">
        <f t="shared" si="6"/>
        <v>0</v>
      </c>
      <c r="M10" s="51">
        <f t="shared" si="7"/>
        <v>-16445</v>
      </c>
      <c r="O10" s="51">
        <v>94759</v>
      </c>
      <c r="P10" s="93">
        <v>155016</v>
      </c>
      <c r="Q10" s="51">
        <v>1149525</v>
      </c>
      <c r="S10" s="93">
        <v>-3405</v>
      </c>
      <c r="T10" s="51">
        <v>-50291</v>
      </c>
      <c r="U10" s="93">
        <v>-500303</v>
      </c>
      <c r="W10" s="93">
        <v>3671588</v>
      </c>
      <c r="X10" s="93"/>
      <c r="Y10" s="93">
        <v>502450</v>
      </c>
      <c r="AA10" s="40"/>
    </row>
    <row r="11" spans="1:27" ht="20.100000000000001" customHeight="1" x14ac:dyDescent="0.25">
      <c r="A11" s="46">
        <v>105</v>
      </c>
      <c r="B11" s="63" t="s">
        <v>108</v>
      </c>
      <c r="C11" s="85">
        <f>'MFPRSI Supplemental Info 2015'!D11</f>
        <v>1.7988489201668793E-2</v>
      </c>
      <c r="D11" s="85">
        <v>1.8023230000000001E-2</v>
      </c>
      <c r="E11" s="93">
        <f>'MFPRSI Supplemental Info 2015'!W11</f>
        <v>8451250</v>
      </c>
      <c r="F11" s="93">
        <f t="shared" si="0"/>
        <v>8467572</v>
      </c>
      <c r="G11" s="93">
        <f t="shared" si="1"/>
        <v>16322</v>
      </c>
      <c r="H11" s="93">
        <f t="shared" si="2"/>
        <v>1356333</v>
      </c>
      <c r="I11" s="93">
        <f t="shared" si="3"/>
        <v>1356333</v>
      </c>
      <c r="J11" s="93">
        <f t="shared" si="4"/>
        <v>0</v>
      </c>
      <c r="K11" s="51">
        <f t="shared" si="5"/>
        <v>2968</v>
      </c>
      <c r="L11" s="51">
        <f t="shared" si="6"/>
        <v>13354</v>
      </c>
      <c r="M11" s="51">
        <f t="shared" si="7"/>
        <v>0</v>
      </c>
      <c r="O11" s="51">
        <v>290844</v>
      </c>
      <c r="P11" s="93">
        <v>475793</v>
      </c>
      <c r="Q11" s="51">
        <v>3528242</v>
      </c>
      <c r="S11" s="93">
        <v>-10451</v>
      </c>
      <c r="T11" s="51">
        <v>-154358</v>
      </c>
      <c r="U11" s="93">
        <v>-1535583</v>
      </c>
      <c r="W11" s="93">
        <v>11269222</v>
      </c>
      <c r="X11" s="93"/>
      <c r="Y11" s="93">
        <v>1542171</v>
      </c>
      <c r="AA11" s="40"/>
    </row>
    <row r="12" spans="1:27" ht="20.100000000000001" customHeight="1" x14ac:dyDescent="0.25">
      <c r="A12" s="46">
        <v>106</v>
      </c>
      <c r="B12" s="63" t="s">
        <v>109</v>
      </c>
      <c r="C12" s="85">
        <f>'MFPRSI Supplemental Info 2015'!D12</f>
        <v>2.6191444317951651E-3</v>
      </c>
      <c r="D12" s="85">
        <v>2.43648E-3</v>
      </c>
      <c r="E12" s="93">
        <f>'MFPRSI Supplemental Info 2015'!W12</f>
        <v>1230510</v>
      </c>
      <c r="F12" s="93">
        <f t="shared" si="0"/>
        <v>1144693</v>
      </c>
      <c r="G12" s="93">
        <f t="shared" si="1"/>
        <v>-85817</v>
      </c>
      <c r="H12" s="93">
        <f t="shared" si="2"/>
        <v>183357</v>
      </c>
      <c r="I12" s="93">
        <f t="shared" si="3"/>
        <v>183357</v>
      </c>
      <c r="J12" s="93">
        <f t="shared" si="4"/>
        <v>0</v>
      </c>
      <c r="K12" s="51">
        <f t="shared" si="5"/>
        <v>-15603</v>
      </c>
      <c r="L12" s="51">
        <f t="shared" si="6"/>
        <v>0</v>
      </c>
      <c r="M12" s="51">
        <f t="shared" si="7"/>
        <v>-70214</v>
      </c>
      <c r="O12" s="51">
        <v>39318</v>
      </c>
      <c r="P12" s="93">
        <v>64320</v>
      </c>
      <c r="Q12" s="51">
        <v>476967</v>
      </c>
      <c r="S12" s="93">
        <v>-1413</v>
      </c>
      <c r="T12" s="51">
        <v>-20867</v>
      </c>
      <c r="U12" s="93">
        <v>-207589</v>
      </c>
      <c r="W12" s="93">
        <v>1523436</v>
      </c>
      <c r="X12" s="93"/>
      <c r="Y12" s="93">
        <v>208479</v>
      </c>
      <c r="AA12" s="40"/>
    </row>
    <row r="13" spans="1:27" ht="20.100000000000001" customHeight="1" x14ac:dyDescent="0.25">
      <c r="A13" s="46">
        <v>107</v>
      </c>
      <c r="B13" s="63" t="s">
        <v>110</v>
      </c>
      <c r="C13" s="85">
        <f>'MFPRSI Supplemental Info 2015'!D13</f>
        <v>2.8797372273636278E-3</v>
      </c>
      <c r="D13" s="85">
        <v>2.9939599999999999E-3</v>
      </c>
      <c r="E13" s="93">
        <f>'MFPRSI Supplemental Info 2015'!W13</f>
        <v>1352943</v>
      </c>
      <c r="F13" s="93">
        <f t="shared" si="0"/>
        <v>1406605</v>
      </c>
      <c r="G13" s="93">
        <f t="shared" si="1"/>
        <v>53662</v>
      </c>
      <c r="H13" s="93">
        <f t="shared" si="2"/>
        <v>225310</v>
      </c>
      <c r="I13" s="93">
        <f t="shared" si="3"/>
        <v>225310</v>
      </c>
      <c r="J13" s="93">
        <f t="shared" si="4"/>
        <v>0</v>
      </c>
      <c r="K13" s="51">
        <f t="shared" si="5"/>
        <v>9757</v>
      </c>
      <c r="L13" s="51">
        <f t="shared" si="6"/>
        <v>43905</v>
      </c>
      <c r="M13" s="51">
        <f t="shared" si="7"/>
        <v>0</v>
      </c>
      <c r="O13" s="51">
        <v>48314</v>
      </c>
      <c r="P13" s="93">
        <v>79037</v>
      </c>
      <c r="Q13" s="51">
        <v>586100</v>
      </c>
      <c r="S13" s="93">
        <v>-1736</v>
      </c>
      <c r="T13" s="51">
        <v>-25641</v>
      </c>
      <c r="U13" s="93">
        <v>-255086</v>
      </c>
      <c r="W13" s="93">
        <v>1872006</v>
      </c>
      <c r="X13" s="93"/>
      <c r="Y13" s="93">
        <v>256180</v>
      </c>
      <c r="AA13" s="40"/>
    </row>
    <row r="14" spans="1:27" ht="20.100000000000001" customHeight="1" x14ac:dyDescent="0.25">
      <c r="A14" s="46">
        <v>108</v>
      </c>
      <c r="B14" s="63" t="s">
        <v>111</v>
      </c>
      <c r="C14" s="85">
        <f>'MFPRSI Supplemental Info 2015'!D14</f>
        <v>1.7270774359981172E-2</v>
      </c>
      <c r="D14" s="85">
        <v>1.7279389999999999E-2</v>
      </c>
      <c r="E14" s="93">
        <f>'MFPRSI Supplemental Info 2015'!W14</f>
        <v>8114055</v>
      </c>
      <c r="F14" s="93">
        <f t="shared" si="0"/>
        <v>8118105</v>
      </c>
      <c r="G14" s="93">
        <f t="shared" si="1"/>
        <v>4050</v>
      </c>
      <c r="H14" s="93">
        <f t="shared" si="2"/>
        <v>1300356</v>
      </c>
      <c r="I14" s="93">
        <f t="shared" si="3"/>
        <v>1300356</v>
      </c>
      <c r="J14" s="93">
        <f t="shared" si="4"/>
        <v>0</v>
      </c>
      <c r="K14" s="51">
        <f t="shared" si="5"/>
        <v>736</v>
      </c>
      <c r="L14" s="51">
        <f t="shared" si="6"/>
        <v>3314</v>
      </c>
      <c r="M14" s="51">
        <f t="shared" si="7"/>
        <v>0</v>
      </c>
      <c r="O14" s="51">
        <v>278841</v>
      </c>
      <c r="P14" s="93">
        <v>456156</v>
      </c>
      <c r="Q14" s="51">
        <v>3382628</v>
      </c>
      <c r="S14" s="93">
        <v>-10020</v>
      </c>
      <c r="T14" s="51">
        <v>-147987</v>
      </c>
      <c r="U14" s="93">
        <v>-1472208</v>
      </c>
      <c r="W14" s="93">
        <v>10804128</v>
      </c>
      <c r="X14" s="93"/>
      <c r="Y14" s="93">
        <v>1478524</v>
      </c>
      <c r="AA14" s="40"/>
    </row>
    <row r="15" spans="1:27" ht="20.100000000000001" customHeight="1" x14ac:dyDescent="0.25">
      <c r="A15" s="46">
        <v>109</v>
      </c>
      <c r="B15" s="63" t="s">
        <v>112</v>
      </c>
      <c r="C15" s="85">
        <f>'MFPRSI Supplemental Info 2015'!D15</f>
        <v>9.3574418911107071E-2</v>
      </c>
      <c r="D15" s="85">
        <v>9.313457E-2</v>
      </c>
      <c r="E15" s="93">
        <f>'MFPRSI Supplemental Info 2015'!W15</f>
        <v>43962603</v>
      </c>
      <c r="F15" s="93">
        <f t="shared" si="0"/>
        <v>43755956</v>
      </c>
      <c r="G15" s="93">
        <f t="shared" si="1"/>
        <v>-206647</v>
      </c>
      <c r="H15" s="93">
        <f t="shared" si="2"/>
        <v>7008817</v>
      </c>
      <c r="I15" s="93">
        <f t="shared" si="3"/>
        <v>7008817</v>
      </c>
      <c r="J15" s="93">
        <f t="shared" si="4"/>
        <v>0</v>
      </c>
      <c r="K15" s="51">
        <f t="shared" si="5"/>
        <v>-37572</v>
      </c>
      <c r="L15" s="51">
        <f t="shared" si="6"/>
        <v>0</v>
      </c>
      <c r="M15" s="51">
        <f t="shared" si="7"/>
        <v>-169075</v>
      </c>
      <c r="O15" s="51">
        <v>1502930</v>
      </c>
      <c r="P15" s="93">
        <v>2458646</v>
      </c>
      <c r="Q15" s="51">
        <v>18232100</v>
      </c>
      <c r="S15" s="93">
        <v>-54006</v>
      </c>
      <c r="T15" s="51">
        <v>-797640</v>
      </c>
      <c r="U15" s="93">
        <v>-7935085</v>
      </c>
      <c r="W15" s="93">
        <v>58233408</v>
      </c>
      <c r="X15" s="93"/>
      <c r="Y15" s="93">
        <v>7969129</v>
      </c>
      <c r="AA15" s="40"/>
    </row>
    <row r="16" spans="1:27" ht="20.100000000000001" customHeight="1" x14ac:dyDescent="0.25">
      <c r="A16" s="46">
        <v>110</v>
      </c>
      <c r="B16" s="63" t="s">
        <v>113</v>
      </c>
      <c r="C16" s="85">
        <f>'MFPRSI Supplemental Info 2015'!D16</f>
        <v>2.2354904440551643E-3</v>
      </c>
      <c r="D16" s="85">
        <v>2.4635799999999999E-3</v>
      </c>
      <c r="E16" s="93">
        <f>'MFPRSI Supplemental Info 2015'!W16</f>
        <v>1050265</v>
      </c>
      <c r="F16" s="93">
        <f t="shared" si="0"/>
        <v>1157425</v>
      </c>
      <c r="G16" s="93">
        <f t="shared" si="1"/>
        <v>107160</v>
      </c>
      <c r="H16" s="93">
        <f t="shared" si="2"/>
        <v>185396</v>
      </c>
      <c r="I16" s="93">
        <f t="shared" si="3"/>
        <v>185396</v>
      </c>
      <c r="J16" s="93">
        <f t="shared" si="4"/>
        <v>0</v>
      </c>
      <c r="K16" s="51">
        <f t="shared" si="5"/>
        <v>19484</v>
      </c>
      <c r="L16" s="51">
        <f t="shared" si="6"/>
        <v>87676</v>
      </c>
      <c r="M16" s="51">
        <f t="shared" si="7"/>
        <v>0</v>
      </c>
      <c r="O16" s="51">
        <v>39755</v>
      </c>
      <c r="P16" s="93">
        <v>65036</v>
      </c>
      <c r="Q16" s="51">
        <v>482272</v>
      </c>
      <c r="S16" s="93">
        <v>-1429</v>
      </c>
      <c r="T16" s="51">
        <v>-21099</v>
      </c>
      <c r="U16" s="93">
        <v>-209898</v>
      </c>
      <c r="W16" s="93">
        <v>1540380</v>
      </c>
      <c r="X16" s="93"/>
      <c r="Y16" s="93">
        <v>210798</v>
      </c>
      <c r="AA16" s="40"/>
    </row>
    <row r="17" spans="1:27" ht="20.100000000000001" customHeight="1" x14ac:dyDescent="0.25">
      <c r="A17" s="46">
        <v>111</v>
      </c>
      <c r="B17" s="63" t="s">
        <v>114</v>
      </c>
      <c r="C17" s="85">
        <f>'MFPRSI Supplemental Info 2015'!D17</f>
        <v>3.2524067434975281E-3</v>
      </c>
      <c r="D17" s="85">
        <v>3.34987E-3</v>
      </c>
      <c r="E17" s="93">
        <f>'MFPRSI Supplemental Info 2015'!W17</f>
        <v>1528029</v>
      </c>
      <c r="F17" s="93">
        <f t="shared" si="0"/>
        <v>1573817</v>
      </c>
      <c r="G17" s="93">
        <f t="shared" si="1"/>
        <v>45788</v>
      </c>
      <c r="H17" s="93">
        <f t="shared" si="2"/>
        <v>252094</v>
      </c>
      <c r="I17" s="93">
        <f t="shared" si="3"/>
        <v>252094</v>
      </c>
      <c r="J17" s="93">
        <f t="shared" si="4"/>
        <v>0</v>
      </c>
      <c r="K17" s="51">
        <f t="shared" si="5"/>
        <v>8325</v>
      </c>
      <c r="L17" s="51">
        <f t="shared" si="6"/>
        <v>37463</v>
      </c>
      <c r="M17" s="51">
        <f t="shared" si="7"/>
        <v>0</v>
      </c>
      <c r="O17" s="51">
        <v>54057</v>
      </c>
      <c r="P17" s="93">
        <v>88433</v>
      </c>
      <c r="Q17" s="51">
        <v>655773</v>
      </c>
      <c r="S17" s="93">
        <v>-1942</v>
      </c>
      <c r="T17" s="51">
        <v>-28690</v>
      </c>
      <c r="U17" s="93">
        <v>-285410</v>
      </c>
      <c r="W17" s="93">
        <v>2094543</v>
      </c>
      <c r="X17" s="93"/>
      <c r="Y17" s="93">
        <v>286634</v>
      </c>
      <c r="AA17" s="40"/>
    </row>
    <row r="18" spans="1:27" ht="20.100000000000001" customHeight="1" x14ac:dyDescent="0.25">
      <c r="A18" s="46">
        <v>112</v>
      </c>
      <c r="B18" s="63" t="s">
        <v>115</v>
      </c>
      <c r="C18" s="85">
        <f>'MFPRSI Supplemental Info 2015'!D18</f>
        <v>1.9325748304902298E-2</v>
      </c>
      <c r="D18" s="85">
        <v>1.907348E-2</v>
      </c>
      <c r="E18" s="93">
        <f>'MFPRSI Supplemental Info 2015'!W18</f>
        <v>9079514</v>
      </c>
      <c r="F18" s="93">
        <f t="shared" si="0"/>
        <v>8960994</v>
      </c>
      <c r="G18" s="93">
        <f t="shared" si="1"/>
        <v>-118520</v>
      </c>
      <c r="H18" s="93">
        <f t="shared" si="2"/>
        <v>1435370</v>
      </c>
      <c r="I18" s="93">
        <f t="shared" si="3"/>
        <v>1435370</v>
      </c>
      <c r="J18" s="93">
        <f t="shared" si="4"/>
        <v>0</v>
      </c>
      <c r="K18" s="51">
        <f t="shared" si="5"/>
        <v>-21549</v>
      </c>
      <c r="L18" s="51">
        <f t="shared" si="6"/>
        <v>0</v>
      </c>
      <c r="M18" s="51">
        <f t="shared" si="7"/>
        <v>-96971</v>
      </c>
      <c r="O18" s="51">
        <v>307792</v>
      </c>
      <c r="P18" s="93">
        <v>503518</v>
      </c>
      <c r="Q18" s="51">
        <v>3733840</v>
      </c>
      <c r="S18" s="93">
        <v>-11060</v>
      </c>
      <c r="T18" s="51">
        <v>-163353</v>
      </c>
      <c r="U18" s="93">
        <v>-1625065</v>
      </c>
      <c r="W18" s="93">
        <v>11925902</v>
      </c>
      <c r="X18" s="93"/>
      <c r="Y18" s="93">
        <v>1632037</v>
      </c>
      <c r="AA18" s="40"/>
    </row>
    <row r="19" spans="1:27" ht="20.100000000000001" customHeight="1" x14ac:dyDescent="0.25">
      <c r="A19" s="46">
        <v>113</v>
      </c>
      <c r="B19" s="63" t="s">
        <v>116</v>
      </c>
      <c r="C19" s="85">
        <f>'MFPRSI Supplemental Info 2015'!D19</f>
        <v>5.9059842335465185E-3</v>
      </c>
      <c r="D19" s="85">
        <v>6.0141200000000004E-3</v>
      </c>
      <c r="E19" s="93">
        <f>'MFPRSI Supplemental Info 2015'!W19</f>
        <v>2774719</v>
      </c>
      <c r="F19" s="93">
        <f t="shared" si="0"/>
        <v>2825520</v>
      </c>
      <c r="G19" s="93">
        <f t="shared" si="1"/>
        <v>50801</v>
      </c>
      <c r="H19" s="93">
        <f t="shared" si="2"/>
        <v>452591</v>
      </c>
      <c r="I19" s="93">
        <f t="shared" si="3"/>
        <v>452591</v>
      </c>
      <c r="J19" s="93">
        <f t="shared" si="4"/>
        <v>0</v>
      </c>
      <c r="K19" s="51">
        <f t="shared" si="5"/>
        <v>9237</v>
      </c>
      <c r="L19" s="51">
        <f t="shared" si="6"/>
        <v>41564</v>
      </c>
      <c r="M19" s="51">
        <f t="shared" si="7"/>
        <v>0</v>
      </c>
      <c r="O19" s="51">
        <v>97051</v>
      </c>
      <c r="P19" s="93">
        <v>158766</v>
      </c>
      <c r="Q19" s="51">
        <v>1177329</v>
      </c>
      <c r="S19" s="93">
        <v>-3487</v>
      </c>
      <c r="T19" s="51">
        <v>-51507</v>
      </c>
      <c r="U19" s="93">
        <v>-512404</v>
      </c>
      <c r="W19" s="93">
        <v>3760394</v>
      </c>
      <c r="X19" s="93"/>
      <c r="Y19" s="93">
        <v>514603</v>
      </c>
      <c r="AA19" s="40"/>
    </row>
    <row r="20" spans="1:27" ht="20.100000000000001" customHeight="1" x14ac:dyDescent="0.25">
      <c r="A20" s="46">
        <v>114</v>
      </c>
      <c r="B20" s="63" t="s">
        <v>117</v>
      </c>
      <c r="C20" s="85">
        <f>'MFPRSI Supplemental Info 2015'!D20</f>
        <v>5.8799312236652468E-2</v>
      </c>
      <c r="D20" s="85">
        <v>5.9174749999999998E-2</v>
      </c>
      <c r="E20" s="93">
        <f>'MFPRSI Supplemental Info 2015'!W20</f>
        <v>27624758</v>
      </c>
      <c r="F20" s="93">
        <f t="shared" si="0"/>
        <v>27801145</v>
      </c>
      <c r="G20" s="93">
        <f t="shared" si="1"/>
        <v>176387</v>
      </c>
      <c r="H20" s="93">
        <f t="shared" si="2"/>
        <v>4453180</v>
      </c>
      <c r="I20" s="93">
        <f t="shared" si="3"/>
        <v>4453180</v>
      </c>
      <c r="J20" s="93">
        <f t="shared" si="4"/>
        <v>0</v>
      </c>
      <c r="K20" s="51">
        <f t="shared" si="5"/>
        <v>32070</v>
      </c>
      <c r="L20" s="51">
        <f t="shared" si="6"/>
        <v>144317</v>
      </c>
      <c r="M20" s="51">
        <f t="shared" si="7"/>
        <v>0</v>
      </c>
      <c r="O20" s="51">
        <v>954914</v>
      </c>
      <c r="P20" s="93">
        <v>1562146</v>
      </c>
      <c r="Q20" s="51">
        <v>11584098</v>
      </c>
      <c r="S20" s="93">
        <v>-34313</v>
      </c>
      <c r="T20" s="51">
        <v>-506795</v>
      </c>
      <c r="U20" s="93">
        <v>-5041701</v>
      </c>
      <c r="W20" s="93">
        <v>36999659</v>
      </c>
      <c r="X20" s="93"/>
      <c r="Y20" s="93">
        <v>5063332</v>
      </c>
      <c r="AA20" s="40"/>
    </row>
    <row r="21" spans="1:27" ht="20.100000000000001" customHeight="1" x14ac:dyDescent="0.25">
      <c r="A21" s="46">
        <v>115</v>
      </c>
      <c r="B21" s="63" t="s">
        <v>118</v>
      </c>
      <c r="C21" s="85">
        <f>'MFPRSI Supplemental Info 2015'!D21</f>
        <v>2.9174681349695129E-3</v>
      </c>
      <c r="D21" s="85">
        <v>2.8960600000000002E-3</v>
      </c>
      <c r="E21" s="93">
        <f>'MFPRSI Supplemental Info 2015'!W21</f>
        <v>1370669</v>
      </c>
      <c r="F21" s="93">
        <f t="shared" si="0"/>
        <v>1360610</v>
      </c>
      <c r="G21" s="93">
        <f t="shared" si="1"/>
        <v>-10059</v>
      </c>
      <c r="H21" s="93">
        <f t="shared" si="2"/>
        <v>217942</v>
      </c>
      <c r="I21" s="93">
        <f t="shared" si="3"/>
        <v>217942</v>
      </c>
      <c r="J21" s="93">
        <f t="shared" si="4"/>
        <v>0</v>
      </c>
      <c r="K21" s="51">
        <f t="shared" si="5"/>
        <v>-1829</v>
      </c>
      <c r="L21" s="51">
        <f t="shared" si="6"/>
        <v>0</v>
      </c>
      <c r="M21" s="51">
        <f t="shared" si="7"/>
        <v>-8230</v>
      </c>
      <c r="O21" s="51">
        <v>46734</v>
      </c>
      <c r="P21" s="93">
        <v>76453</v>
      </c>
      <c r="Q21" s="51">
        <v>566935</v>
      </c>
      <c r="S21" s="93">
        <v>-1679</v>
      </c>
      <c r="T21" s="51">
        <v>-24803</v>
      </c>
      <c r="U21" s="93">
        <v>-246745</v>
      </c>
      <c r="W21" s="93">
        <v>1810793</v>
      </c>
      <c r="X21" s="93"/>
      <c r="Y21" s="93">
        <v>247804</v>
      </c>
      <c r="AA21" s="40"/>
    </row>
    <row r="22" spans="1:27" ht="20.100000000000001" customHeight="1" x14ac:dyDescent="0.25">
      <c r="A22" s="46">
        <v>116</v>
      </c>
      <c r="B22" s="63" t="s">
        <v>119</v>
      </c>
      <c r="C22" s="85">
        <f>'MFPRSI Supplemental Info 2015'!D22</f>
        <v>8.0960533859364137E-2</v>
      </c>
      <c r="D22" s="85">
        <v>8.1133689999999994E-2</v>
      </c>
      <c r="E22" s="93">
        <f>'MFPRSI Supplemental Info 2015'!W22</f>
        <v>38036417</v>
      </c>
      <c r="F22" s="93">
        <f t="shared" si="0"/>
        <v>38117770</v>
      </c>
      <c r="G22" s="93">
        <f t="shared" si="1"/>
        <v>81353</v>
      </c>
      <c r="H22" s="93">
        <f t="shared" si="2"/>
        <v>6105694</v>
      </c>
      <c r="I22" s="93">
        <f t="shared" si="3"/>
        <v>6105694</v>
      </c>
      <c r="J22" s="93">
        <f t="shared" si="4"/>
        <v>0</v>
      </c>
      <c r="K22" s="51">
        <f t="shared" si="5"/>
        <v>14791</v>
      </c>
      <c r="L22" s="51">
        <f t="shared" si="6"/>
        <v>66562</v>
      </c>
      <c r="M22" s="51">
        <f t="shared" si="7"/>
        <v>0</v>
      </c>
      <c r="O22" s="51">
        <v>1309269</v>
      </c>
      <c r="P22" s="93">
        <v>2141837</v>
      </c>
      <c r="Q22" s="51">
        <v>15882798</v>
      </c>
      <c r="S22" s="93">
        <v>-47047</v>
      </c>
      <c r="T22" s="51">
        <v>-694860</v>
      </c>
      <c r="U22" s="93">
        <v>-6912607</v>
      </c>
      <c r="W22" s="93">
        <v>50729727</v>
      </c>
      <c r="X22" s="93"/>
      <c r="Y22" s="93">
        <v>6942265</v>
      </c>
      <c r="AA22" s="40"/>
    </row>
    <row r="23" spans="1:27" ht="20.100000000000001" customHeight="1" x14ac:dyDescent="0.25">
      <c r="A23" s="46">
        <v>117</v>
      </c>
      <c r="B23" s="63" t="s">
        <v>120</v>
      </c>
      <c r="C23" s="85">
        <f>'MFPRSI Supplemental Info 2015'!D23</f>
        <v>2.9432239622285651E-3</v>
      </c>
      <c r="D23" s="85">
        <v>2.8899199999999998E-3</v>
      </c>
      <c r="E23" s="93">
        <f>'MFPRSI Supplemental Info 2015'!W23</f>
        <v>1382767</v>
      </c>
      <c r="F23" s="93">
        <f t="shared" si="0"/>
        <v>1357726</v>
      </c>
      <c r="G23" s="93">
        <f t="shared" si="1"/>
        <v>-25041</v>
      </c>
      <c r="H23" s="93">
        <f t="shared" si="2"/>
        <v>217480</v>
      </c>
      <c r="I23" s="93">
        <f t="shared" si="3"/>
        <v>217480</v>
      </c>
      <c r="J23" s="93">
        <f t="shared" si="4"/>
        <v>0</v>
      </c>
      <c r="K23" s="51">
        <f t="shared" si="5"/>
        <v>-4553</v>
      </c>
      <c r="L23" s="51">
        <f t="shared" si="6"/>
        <v>0</v>
      </c>
      <c r="M23" s="51">
        <f t="shared" si="7"/>
        <v>-20488</v>
      </c>
      <c r="O23" s="51">
        <v>46635</v>
      </c>
      <c r="P23" s="93">
        <v>76291</v>
      </c>
      <c r="Q23" s="51">
        <v>565733</v>
      </c>
      <c r="S23" s="93">
        <v>-1676</v>
      </c>
      <c r="T23" s="51">
        <v>-24750</v>
      </c>
      <c r="U23" s="93">
        <v>-246222</v>
      </c>
      <c r="W23" s="93">
        <v>1806954</v>
      </c>
      <c r="X23" s="93"/>
      <c r="Y23" s="93">
        <v>247278</v>
      </c>
      <c r="AA23" s="40"/>
    </row>
    <row r="24" spans="1:27" ht="20.100000000000001" customHeight="1" x14ac:dyDescent="0.25">
      <c r="A24" s="46">
        <v>118</v>
      </c>
      <c r="B24" s="63" t="s">
        <v>121</v>
      </c>
      <c r="C24" s="85">
        <f>'MFPRSI Supplemental Info 2015'!D24</f>
        <v>0.1830480436587103</v>
      </c>
      <c r="D24" s="85">
        <v>0.18298306</v>
      </c>
      <c r="E24" s="93">
        <f>'MFPRSI Supplemental Info 2015'!W24</f>
        <v>85998596</v>
      </c>
      <c r="F24" s="93">
        <f t="shared" si="0"/>
        <v>85968064</v>
      </c>
      <c r="G24" s="93">
        <f t="shared" si="1"/>
        <v>-30532</v>
      </c>
      <c r="H24" s="93">
        <f t="shared" si="2"/>
        <v>13770340</v>
      </c>
      <c r="I24" s="93">
        <f t="shared" si="3"/>
        <v>13770340</v>
      </c>
      <c r="J24" s="93">
        <f t="shared" si="4"/>
        <v>0</v>
      </c>
      <c r="K24" s="51">
        <f t="shared" si="5"/>
        <v>-5551</v>
      </c>
      <c r="L24" s="51">
        <f t="shared" si="6"/>
        <v>0</v>
      </c>
      <c r="M24" s="51">
        <f t="shared" si="7"/>
        <v>-24981</v>
      </c>
      <c r="O24" s="51">
        <v>2952832</v>
      </c>
      <c r="P24" s="93">
        <v>4830541</v>
      </c>
      <c r="Q24" s="51">
        <v>35820920</v>
      </c>
      <c r="S24" s="93">
        <v>-106104</v>
      </c>
      <c r="T24" s="51">
        <v>-1567136</v>
      </c>
      <c r="U24" s="93">
        <v>-15590193</v>
      </c>
      <c r="W24" s="93">
        <v>114412167</v>
      </c>
      <c r="X24" s="93"/>
      <c r="Y24" s="93">
        <v>15657085</v>
      </c>
      <c r="AA24" s="40"/>
    </row>
    <row r="25" spans="1:27" ht="20.100000000000001" customHeight="1" x14ac:dyDescent="0.25">
      <c r="A25" s="46">
        <v>119</v>
      </c>
      <c r="B25" s="63" t="s">
        <v>122</v>
      </c>
      <c r="C25" s="85">
        <f>'MFPRSI Supplemental Info 2015'!D25</f>
        <v>2.2493840451277202E-3</v>
      </c>
      <c r="D25" s="85">
        <v>2.3360099999999999E-3</v>
      </c>
      <c r="E25" s="93">
        <f>'MFPRSI Supplemental Info 2015'!W25</f>
        <v>1056791</v>
      </c>
      <c r="F25" s="93">
        <f t="shared" si="0"/>
        <v>1097491</v>
      </c>
      <c r="G25" s="93">
        <f t="shared" si="1"/>
        <v>40700</v>
      </c>
      <c r="H25" s="93">
        <f t="shared" si="2"/>
        <v>175796</v>
      </c>
      <c r="I25" s="93">
        <f t="shared" si="3"/>
        <v>175796</v>
      </c>
      <c r="J25" s="93">
        <f t="shared" si="4"/>
        <v>0</v>
      </c>
      <c r="K25" s="51">
        <f t="shared" si="5"/>
        <v>7400</v>
      </c>
      <c r="L25" s="51">
        <f t="shared" si="6"/>
        <v>33300</v>
      </c>
      <c r="M25" s="51">
        <f t="shared" si="7"/>
        <v>0</v>
      </c>
      <c r="O25" s="51">
        <v>37697</v>
      </c>
      <c r="P25" s="93">
        <v>61668</v>
      </c>
      <c r="Q25" s="51">
        <v>457299</v>
      </c>
      <c r="S25" s="93">
        <v>-1355</v>
      </c>
      <c r="T25" s="51">
        <v>-20006</v>
      </c>
      <c r="U25" s="93">
        <v>-199029</v>
      </c>
      <c r="W25" s="93">
        <v>1460616</v>
      </c>
      <c r="X25" s="93"/>
      <c r="Y25" s="93">
        <v>199882</v>
      </c>
      <c r="AA25" s="40"/>
    </row>
    <row r="26" spans="1:27" ht="20.100000000000001" customHeight="1" x14ac:dyDescent="0.25">
      <c r="A26" s="46">
        <v>120</v>
      </c>
      <c r="B26" s="63" t="s">
        <v>123</v>
      </c>
      <c r="C26" s="85">
        <f>'MFPRSI Supplemental Info 2015'!D26</f>
        <v>4.9854905286957844E-2</v>
      </c>
      <c r="D26" s="85">
        <v>4.9532850000000003E-2</v>
      </c>
      <c r="E26" s="93">
        <f>'MFPRSI Supplemental Info 2015'!W26</f>
        <v>23422551</v>
      </c>
      <c r="F26" s="93">
        <f t="shared" si="0"/>
        <v>23271243</v>
      </c>
      <c r="G26" s="93">
        <f t="shared" si="1"/>
        <v>-151308</v>
      </c>
      <c r="H26" s="93">
        <f t="shared" si="2"/>
        <v>3727581</v>
      </c>
      <c r="I26" s="93">
        <f t="shared" si="3"/>
        <v>3727581</v>
      </c>
      <c r="J26" s="93">
        <f t="shared" si="4"/>
        <v>0</v>
      </c>
      <c r="K26" s="51">
        <f t="shared" si="5"/>
        <v>-27511</v>
      </c>
      <c r="L26" s="51">
        <f t="shared" si="6"/>
        <v>0</v>
      </c>
      <c r="M26" s="51">
        <f t="shared" si="7"/>
        <v>-123797</v>
      </c>
      <c r="O26" s="51">
        <v>799321</v>
      </c>
      <c r="P26" s="93">
        <v>1307611</v>
      </c>
      <c r="Q26" s="51">
        <v>9696592</v>
      </c>
      <c r="S26" s="93">
        <v>-28722</v>
      </c>
      <c r="T26" s="51">
        <v>-424218</v>
      </c>
      <c r="U26" s="93">
        <v>-4220209</v>
      </c>
      <c r="W26" s="93">
        <v>30970956</v>
      </c>
      <c r="X26" s="93"/>
      <c r="Y26" s="93">
        <v>4238316</v>
      </c>
      <c r="AA26" s="40"/>
    </row>
    <row r="27" spans="1:27" ht="20.100000000000001" customHeight="1" x14ac:dyDescent="0.25">
      <c r="A27" s="46">
        <v>121</v>
      </c>
      <c r="B27" s="63" t="s">
        <v>124</v>
      </c>
      <c r="C27" s="85">
        <f>'MFPRSI Supplemental Info 2015'!D27</f>
        <v>2.3507396204611765E-3</v>
      </c>
      <c r="D27" s="85">
        <v>2.16914E-3</v>
      </c>
      <c r="E27" s="93">
        <f>'MFPRSI Supplemental Info 2015'!W27</f>
        <v>1104411</v>
      </c>
      <c r="F27" s="93">
        <f t="shared" si="0"/>
        <v>1019093</v>
      </c>
      <c r="G27" s="93">
        <f t="shared" si="1"/>
        <v>-85318</v>
      </c>
      <c r="H27" s="93">
        <f t="shared" si="2"/>
        <v>163238</v>
      </c>
      <c r="I27" s="93">
        <f t="shared" si="3"/>
        <v>163238</v>
      </c>
      <c r="J27" s="93">
        <f t="shared" si="4"/>
        <v>0</v>
      </c>
      <c r="K27" s="51">
        <f t="shared" si="5"/>
        <v>-15512</v>
      </c>
      <c r="L27" s="51">
        <f t="shared" si="6"/>
        <v>0</v>
      </c>
      <c r="M27" s="51">
        <f t="shared" si="7"/>
        <v>-69806</v>
      </c>
      <c r="O27" s="51">
        <v>35004</v>
      </c>
      <c r="P27" s="93">
        <v>57263</v>
      </c>
      <c r="Q27" s="51">
        <v>424633</v>
      </c>
      <c r="S27" s="93">
        <v>-1258</v>
      </c>
      <c r="T27" s="51">
        <v>-18577</v>
      </c>
      <c r="U27" s="93">
        <v>-184811</v>
      </c>
      <c r="W27" s="93">
        <v>1356279</v>
      </c>
      <c r="X27" s="93"/>
      <c r="Y27" s="93">
        <v>185604</v>
      </c>
      <c r="AA27" s="40"/>
    </row>
    <row r="28" spans="1:27" ht="20.100000000000001" customHeight="1" x14ac:dyDescent="0.25">
      <c r="A28" s="46">
        <v>122</v>
      </c>
      <c r="B28" s="63" t="s">
        <v>125</v>
      </c>
      <c r="C28" s="85">
        <f>'MFPRSI Supplemental Info 2015'!D28</f>
        <v>1.0593494637289424E-3</v>
      </c>
      <c r="D28" s="85">
        <v>1.22988E-3</v>
      </c>
      <c r="E28" s="93">
        <f>'MFPRSI Supplemental Info 2015'!W28</f>
        <v>497698</v>
      </c>
      <c r="F28" s="93">
        <f t="shared" si="0"/>
        <v>577815</v>
      </c>
      <c r="G28" s="93">
        <f t="shared" si="1"/>
        <v>80117</v>
      </c>
      <c r="H28" s="93">
        <f t="shared" si="2"/>
        <v>92554</v>
      </c>
      <c r="I28" s="93">
        <f t="shared" si="3"/>
        <v>92554</v>
      </c>
      <c r="J28" s="93">
        <f t="shared" si="4"/>
        <v>0</v>
      </c>
      <c r="K28" s="51">
        <f t="shared" si="5"/>
        <v>14567</v>
      </c>
      <c r="L28" s="51">
        <f t="shared" si="6"/>
        <v>65550</v>
      </c>
      <c r="M28" s="51">
        <f t="shared" si="7"/>
        <v>0</v>
      </c>
      <c r="O28" s="51">
        <v>19847</v>
      </c>
      <c r="P28" s="93">
        <v>32467</v>
      </c>
      <c r="Q28" s="51">
        <v>240762</v>
      </c>
      <c r="S28" s="93">
        <v>-713</v>
      </c>
      <c r="T28" s="51">
        <v>-10533</v>
      </c>
      <c r="U28" s="93">
        <v>-104786</v>
      </c>
      <c r="W28" s="93">
        <v>768996</v>
      </c>
      <c r="X28" s="93"/>
      <c r="Y28" s="93">
        <v>105236</v>
      </c>
      <c r="AA28" s="40"/>
    </row>
    <row r="29" spans="1:27" ht="20.100000000000001" customHeight="1" x14ac:dyDescent="0.25">
      <c r="A29" s="46">
        <v>123</v>
      </c>
      <c r="B29" s="63" t="s">
        <v>126</v>
      </c>
      <c r="C29" s="85">
        <f>'MFPRSI Supplemental Info 2015'!D29</f>
        <v>3.3350410675662499E-3</v>
      </c>
      <c r="D29" s="85">
        <v>3.4241300000000001E-3</v>
      </c>
      <c r="E29" s="93">
        <f>'MFPRSI Supplemental Info 2015'!W29</f>
        <v>1566850</v>
      </c>
      <c r="F29" s="93">
        <f t="shared" si="0"/>
        <v>1608705</v>
      </c>
      <c r="G29" s="93">
        <f t="shared" si="1"/>
        <v>41855</v>
      </c>
      <c r="H29" s="93">
        <f t="shared" si="2"/>
        <v>257682</v>
      </c>
      <c r="I29" s="93">
        <f t="shared" si="3"/>
        <v>257682</v>
      </c>
      <c r="J29" s="93">
        <f t="shared" si="4"/>
        <v>0</v>
      </c>
      <c r="K29" s="51">
        <f t="shared" si="5"/>
        <v>7610</v>
      </c>
      <c r="L29" s="51">
        <f t="shared" si="6"/>
        <v>34245</v>
      </c>
      <c r="M29" s="51">
        <f t="shared" si="7"/>
        <v>0</v>
      </c>
      <c r="O29" s="51">
        <v>55256</v>
      </c>
      <c r="P29" s="93">
        <v>90393</v>
      </c>
      <c r="Q29" s="51">
        <v>670311</v>
      </c>
      <c r="S29" s="93">
        <v>-1986</v>
      </c>
      <c r="T29" s="51">
        <v>-29326</v>
      </c>
      <c r="U29" s="93">
        <v>-291737</v>
      </c>
      <c r="W29" s="93">
        <v>2140975</v>
      </c>
      <c r="X29" s="93"/>
      <c r="Y29" s="93">
        <v>292988</v>
      </c>
      <c r="AA29" s="40"/>
    </row>
    <row r="30" spans="1:27" ht="20.100000000000001" customHeight="1" x14ac:dyDescent="0.25">
      <c r="A30" s="46">
        <v>124</v>
      </c>
      <c r="B30" s="63" t="s">
        <v>127</v>
      </c>
      <c r="C30" s="85">
        <f>'MFPRSI Supplemental Info 2015'!D30</f>
        <v>1.452899507395352E-2</v>
      </c>
      <c r="D30" s="85">
        <v>1.4646299999999999E-2</v>
      </c>
      <c r="E30" s="93">
        <f>'MFPRSI Supplemental Info 2015'!W30</f>
        <v>6825932</v>
      </c>
      <c r="F30" s="93">
        <f t="shared" si="0"/>
        <v>6881042</v>
      </c>
      <c r="G30" s="93">
        <f t="shared" si="1"/>
        <v>55110</v>
      </c>
      <c r="H30" s="93">
        <f t="shared" si="2"/>
        <v>1102203</v>
      </c>
      <c r="I30" s="93">
        <f t="shared" si="3"/>
        <v>1102203</v>
      </c>
      <c r="J30" s="93">
        <f t="shared" si="4"/>
        <v>0</v>
      </c>
      <c r="K30" s="51">
        <f t="shared" si="5"/>
        <v>10020</v>
      </c>
      <c r="L30" s="51">
        <f t="shared" si="6"/>
        <v>45090</v>
      </c>
      <c r="M30" s="51">
        <f t="shared" si="7"/>
        <v>0</v>
      </c>
      <c r="O30" s="51">
        <v>236350</v>
      </c>
      <c r="P30" s="93">
        <v>386646</v>
      </c>
      <c r="Q30" s="51">
        <v>2867172</v>
      </c>
      <c r="S30" s="93">
        <v>-8493</v>
      </c>
      <c r="T30" s="51">
        <v>-125436</v>
      </c>
      <c r="U30" s="93">
        <v>-1247868</v>
      </c>
      <c r="W30" s="93">
        <v>9157759</v>
      </c>
      <c r="X30" s="93"/>
      <c r="Y30" s="93">
        <v>1253222</v>
      </c>
      <c r="AA30" s="40"/>
    </row>
    <row r="31" spans="1:27" ht="20.100000000000001" customHeight="1" x14ac:dyDescent="0.25">
      <c r="A31" s="46">
        <v>125</v>
      </c>
      <c r="B31" s="63" t="s">
        <v>128</v>
      </c>
      <c r="C31" s="85">
        <f>'MFPRSI Supplemental Info 2015'!D31</f>
        <v>7.1055361824670206E-3</v>
      </c>
      <c r="D31" s="85">
        <v>7.10751E-3</v>
      </c>
      <c r="E31" s="93">
        <f>'MFPRSI Supplemental Info 2015'!W31</f>
        <v>3338280</v>
      </c>
      <c r="F31" s="93">
        <f t="shared" si="0"/>
        <v>3339210</v>
      </c>
      <c r="G31" s="93">
        <f t="shared" si="1"/>
        <v>930</v>
      </c>
      <c r="H31" s="93">
        <f t="shared" si="2"/>
        <v>534874</v>
      </c>
      <c r="I31" s="93">
        <f t="shared" si="3"/>
        <v>534874</v>
      </c>
      <c r="J31" s="93">
        <f t="shared" si="4"/>
        <v>0</v>
      </c>
      <c r="K31" s="51">
        <f t="shared" si="5"/>
        <v>169</v>
      </c>
      <c r="L31" s="51">
        <f t="shared" si="6"/>
        <v>761</v>
      </c>
      <c r="M31" s="51">
        <f t="shared" si="7"/>
        <v>0</v>
      </c>
      <c r="O31" s="51">
        <v>114695</v>
      </c>
      <c r="P31" s="93">
        <v>187630</v>
      </c>
      <c r="Q31" s="51">
        <v>1391372</v>
      </c>
      <c r="S31" s="93">
        <v>-4121</v>
      </c>
      <c r="T31" s="51">
        <v>-60871</v>
      </c>
      <c r="U31" s="93">
        <v>-605561</v>
      </c>
      <c r="W31" s="93">
        <v>4444048</v>
      </c>
      <c r="X31" s="93"/>
      <c r="Y31" s="93">
        <v>608159</v>
      </c>
      <c r="AA31" s="40"/>
    </row>
    <row r="32" spans="1:27" ht="20.100000000000001" customHeight="1" x14ac:dyDescent="0.25">
      <c r="A32" s="46">
        <v>126</v>
      </c>
      <c r="B32" s="63" t="s">
        <v>129</v>
      </c>
      <c r="C32" s="85">
        <f>'MFPRSI Supplemental Info 2015'!D32</f>
        <v>3.8365649561023021E-3</v>
      </c>
      <c r="D32" s="85">
        <v>4.0621600000000004E-3</v>
      </c>
      <c r="E32" s="93">
        <f>'MFPRSI Supplemental Info 2015'!W32</f>
        <v>1802471</v>
      </c>
      <c r="F32" s="93">
        <f t="shared" si="0"/>
        <v>1908461</v>
      </c>
      <c r="G32" s="93">
        <f t="shared" si="1"/>
        <v>105990</v>
      </c>
      <c r="H32" s="93">
        <f t="shared" si="2"/>
        <v>305697</v>
      </c>
      <c r="I32" s="93">
        <f t="shared" si="3"/>
        <v>305697</v>
      </c>
      <c r="J32" s="93">
        <f t="shared" si="4"/>
        <v>0</v>
      </c>
      <c r="K32" s="51">
        <f t="shared" si="5"/>
        <v>19271</v>
      </c>
      <c r="L32" s="51">
        <f t="shared" si="6"/>
        <v>86719</v>
      </c>
      <c r="M32" s="51">
        <f t="shared" si="7"/>
        <v>0</v>
      </c>
      <c r="O32" s="51">
        <v>65552</v>
      </c>
      <c r="P32" s="93">
        <v>107236</v>
      </c>
      <c r="Q32" s="51">
        <v>795212</v>
      </c>
      <c r="S32" s="93">
        <v>-2356</v>
      </c>
      <c r="T32" s="51">
        <v>-34790</v>
      </c>
      <c r="U32" s="93">
        <v>-346097</v>
      </c>
      <c r="W32" s="93">
        <v>2539910</v>
      </c>
      <c r="X32" s="93"/>
      <c r="Y32" s="93">
        <v>347582</v>
      </c>
      <c r="AA32" s="40"/>
    </row>
    <row r="33" spans="1:27" ht="20.100000000000001" customHeight="1" x14ac:dyDescent="0.25">
      <c r="A33" s="46">
        <v>127</v>
      </c>
      <c r="B33" s="63" t="s">
        <v>130</v>
      </c>
      <c r="C33" s="85">
        <f>'MFPRSI Supplemental Info 2015'!D33</f>
        <v>4.5037462126614018E-3</v>
      </c>
      <c r="D33" s="85">
        <v>4.4648400000000003E-3</v>
      </c>
      <c r="E33" s="93">
        <f>'MFPRSI Supplemental Info 2015'!W33</f>
        <v>2115926</v>
      </c>
      <c r="F33" s="93">
        <f t="shared" si="0"/>
        <v>2097646</v>
      </c>
      <c r="G33" s="93">
        <f t="shared" si="1"/>
        <v>-18280</v>
      </c>
      <c r="H33" s="93">
        <f t="shared" si="2"/>
        <v>336000</v>
      </c>
      <c r="I33" s="93">
        <f t="shared" si="3"/>
        <v>336000</v>
      </c>
      <c r="J33" s="93">
        <f t="shared" si="4"/>
        <v>0</v>
      </c>
      <c r="K33" s="51">
        <f t="shared" si="5"/>
        <v>-3324</v>
      </c>
      <c r="L33" s="51">
        <f t="shared" si="6"/>
        <v>0</v>
      </c>
      <c r="M33" s="51">
        <f t="shared" si="7"/>
        <v>-14956</v>
      </c>
      <c r="O33" s="51">
        <v>72050</v>
      </c>
      <c r="P33" s="93">
        <v>117867</v>
      </c>
      <c r="Q33" s="51">
        <v>874041</v>
      </c>
      <c r="S33" s="93">
        <v>-2589</v>
      </c>
      <c r="T33" s="51">
        <v>-38239</v>
      </c>
      <c r="U33" s="93">
        <v>-380405</v>
      </c>
      <c r="W33" s="93">
        <v>2791690</v>
      </c>
      <c r="X33" s="93"/>
      <c r="Y33" s="93">
        <v>382037</v>
      </c>
      <c r="AA33" s="40"/>
    </row>
    <row r="34" spans="1:27" ht="20.100000000000001" customHeight="1" x14ac:dyDescent="0.25">
      <c r="A34" s="46">
        <v>128</v>
      </c>
      <c r="B34" s="63" t="s">
        <v>131</v>
      </c>
      <c r="C34" s="85">
        <f>'MFPRSI Supplemental Info 2015'!D34</f>
        <v>3.7049719894093142E-2</v>
      </c>
      <c r="D34" s="85">
        <v>3.6971280000000002E-2</v>
      </c>
      <c r="E34" s="93">
        <f>'MFPRSI Supplemental Info 2015'!W34</f>
        <v>17406489</v>
      </c>
      <c r="F34" s="93">
        <f t="shared" si="0"/>
        <v>17369637</v>
      </c>
      <c r="G34" s="93">
        <f t="shared" si="1"/>
        <v>-36852</v>
      </c>
      <c r="H34" s="93">
        <f t="shared" si="2"/>
        <v>2782264</v>
      </c>
      <c r="I34" s="93">
        <f t="shared" si="3"/>
        <v>2782264</v>
      </c>
      <c r="J34" s="93">
        <f t="shared" si="4"/>
        <v>0</v>
      </c>
      <c r="K34" s="51">
        <f t="shared" si="5"/>
        <v>-6700</v>
      </c>
      <c r="L34" s="51">
        <f t="shared" si="6"/>
        <v>0</v>
      </c>
      <c r="M34" s="51">
        <f t="shared" si="7"/>
        <v>-30152</v>
      </c>
      <c r="O34" s="51">
        <v>596612</v>
      </c>
      <c r="P34" s="93">
        <v>976000</v>
      </c>
      <c r="Q34" s="51">
        <v>7237528</v>
      </c>
      <c r="S34" s="93">
        <v>-21438</v>
      </c>
      <c r="T34" s="51">
        <v>-316636</v>
      </c>
      <c r="U34" s="93">
        <v>-3149961</v>
      </c>
      <c r="W34" s="93">
        <v>23116697</v>
      </c>
      <c r="X34" s="93"/>
      <c r="Y34" s="93">
        <v>3163475</v>
      </c>
      <c r="AA34" s="40"/>
    </row>
    <row r="35" spans="1:27" ht="20.100000000000001" customHeight="1" x14ac:dyDescent="0.25">
      <c r="A35" s="46">
        <v>129</v>
      </c>
      <c r="B35" s="63" t="s">
        <v>132</v>
      </c>
      <c r="C35" s="85">
        <f>'MFPRSI Supplemental Info 2015'!D35</f>
        <v>8.186804432003569E-3</v>
      </c>
      <c r="D35" s="85">
        <v>8.1036000000000007E-3</v>
      </c>
      <c r="E35" s="93">
        <f>'MFPRSI Supplemental Info 2015'!W35</f>
        <v>3846281</v>
      </c>
      <c r="F35" s="93">
        <f t="shared" si="0"/>
        <v>3807187</v>
      </c>
      <c r="G35" s="93">
        <f t="shared" si="1"/>
        <v>-39094</v>
      </c>
      <c r="H35" s="93">
        <f t="shared" si="2"/>
        <v>609834</v>
      </c>
      <c r="I35" s="93">
        <f t="shared" si="3"/>
        <v>609834</v>
      </c>
      <c r="J35" s="93">
        <f t="shared" si="4"/>
        <v>0</v>
      </c>
      <c r="K35" s="51">
        <f t="shared" si="5"/>
        <v>-7108</v>
      </c>
      <c r="L35" s="51">
        <f t="shared" si="6"/>
        <v>0</v>
      </c>
      <c r="M35" s="51">
        <f t="shared" si="7"/>
        <v>-31986</v>
      </c>
      <c r="O35" s="51">
        <v>130769</v>
      </c>
      <c r="P35" s="93">
        <v>213926</v>
      </c>
      <c r="Q35" s="51">
        <v>1586367</v>
      </c>
      <c r="S35" s="93">
        <v>-4699</v>
      </c>
      <c r="T35" s="51">
        <v>-69402</v>
      </c>
      <c r="U35" s="93">
        <v>-690428</v>
      </c>
      <c r="W35" s="93">
        <v>5066865</v>
      </c>
      <c r="X35" s="93"/>
      <c r="Y35" s="93">
        <v>693391</v>
      </c>
      <c r="AA35" s="40"/>
    </row>
    <row r="36" spans="1:27" ht="20.100000000000001" customHeight="1" x14ac:dyDescent="0.25">
      <c r="A36" s="46">
        <v>130</v>
      </c>
      <c r="B36" s="63" t="s">
        <v>133</v>
      </c>
      <c r="C36" s="85">
        <f>'MFPRSI Supplemental Info 2015'!D36</f>
        <v>2.5516200258604055E-3</v>
      </c>
      <c r="D36" s="85">
        <v>2.7690200000000001E-3</v>
      </c>
      <c r="E36" s="93">
        <f>'MFPRSI Supplemental Info 2015'!W36</f>
        <v>1198788</v>
      </c>
      <c r="F36" s="93">
        <f t="shared" si="0"/>
        <v>1300925</v>
      </c>
      <c r="G36" s="93">
        <f t="shared" si="1"/>
        <v>102137</v>
      </c>
      <c r="H36" s="93">
        <f t="shared" si="2"/>
        <v>208382</v>
      </c>
      <c r="I36" s="93">
        <f t="shared" si="3"/>
        <v>208382</v>
      </c>
      <c r="J36" s="93">
        <f t="shared" si="4"/>
        <v>0</v>
      </c>
      <c r="K36" s="51">
        <f t="shared" si="5"/>
        <v>18570</v>
      </c>
      <c r="L36" s="51">
        <f t="shared" si="6"/>
        <v>83567</v>
      </c>
      <c r="M36" s="51">
        <f t="shared" si="7"/>
        <v>0</v>
      </c>
      <c r="O36" s="51">
        <v>44684</v>
      </c>
      <c r="P36" s="93">
        <v>73099</v>
      </c>
      <c r="Q36" s="51">
        <v>542066</v>
      </c>
      <c r="S36" s="93">
        <v>-1606</v>
      </c>
      <c r="T36" s="51">
        <v>-23715</v>
      </c>
      <c r="U36" s="93">
        <v>-235921</v>
      </c>
      <c r="W36" s="93">
        <v>1731360</v>
      </c>
      <c r="X36" s="93"/>
      <c r="Y36" s="93">
        <v>236933</v>
      </c>
      <c r="AA36" s="40"/>
    </row>
    <row r="37" spans="1:27" ht="20.100000000000001" customHeight="1" x14ac:dyDescent="0.25">
      <c r="A37" s="46">
        <v>131</v>
      </c>
      <c r="B37" s="67" t="s">
        <v>134</v>
      </c>
      <c r="C37" s="85">
        <f>'MFPRSI Supplemental Info 2015'!D37</f>
        <v>3.5285984918947454E-3</v>
      </c>
      <c r="D37" s="85">
        <v>3.4334999999999999E-3</v>
      </c>
      <c r="E37" s="93">
        <f>'MFPRSI Supplemental Info 2015'!W37</f>
        <v>1657787</v>
      </c>
      <c r="F37" s="93">
        <f t="shared" si="0"/>
        <v>1613107</v>
      </c>
      <c r="G37" s="93">
        <f t="shared" si="1"/>
        <v>-44680</v>
      </c>
      <c r="H37" s="93">
        <f t="shared" si="2"/>
        <v>258387</v>
      </c>
      <c r="I37" s="93">
        <f t="shared" si="3"/>
        <v>258387</v>
      </c>
      <c r="J37" s="93">
        <f t="shared" si="4"/>
        <v>0</v>
      </c>
      <c r="K37" s="51">
        <f t="shared" si="5"/>
        <v>-8124</v>
      </c>
      <c r="L37" s="51">
        <f t="shared" si="6"/>
        <v>0</v>
      </c>
      <c r="M37" s="51">
        <f t="shared" si="7"/>
        <v>-36556</v>
      </c>
      <c r="O37" s="51">
        <v>55407</v>
      </c>
      <c r="P37" s="93">
        <v>90640</v>
      </c>
      <c r="Q37" s="51">
        <v>672145</v>
      </c>
      <c r="S37" s="93">
        <v>-1991</v>
      </c>
      <c r="T37" s="51">
        <v>-29406</v>
      </c>
      <c r="U37" s="93">
        <v>-292535</v>
      </c>
      <c r="W37" s="93">
        <v>2146833</v>
      </c>
      <c r="X37" s="93"/>
      <c r="Y37" s="93">
        <v>293790</v>
      </c>
      <c r="AA37" s="40"/>
    </row>
    <row r="38" spans="1:27" ht="20.100000000000001" customHeight="1" x14ac:dyDescent="0.25">
      <c r="A38" s="46">
        <v>132</v>
      </c>
      <c r="B38" s="63" t="s">
        <v>135</v>
      </c>
      <c r="C38" s="85">
        <f>'MFPRSI Supplemental Info 2015'!D38</f>
        <v>2.1743861859084453E-3</v>
      </c>
      <c r="D38" s="85">
        <v>2.20171E-3</v>
      </c>
      <c r="E38" s="93">
        <f>'MFPRSI Supplemental Info 2015'!W38</f>
        <v>1021555</v>
      </c>
      <c r="F38" s="93">
        <f t="shared" si="0"/>
        <v>1034395</v>
      </c>
      <c r="G38" s="93">
        <f t="shared" si="1"/>
        <v>12840</v>
      </c>
      <c r="H38" s="93">
        <f t="shared" si="2"/>
        <v>165689</v>
      </c>
      <c r="I38" s="93">
        <f t="shared" si="3"/>
        <v>165689</v>
      </c>
      <c r="J38" s="93">
        <f t="shared" si="4"/>
        <v>0</v>
      </c>
      <c r="K38" s="51">
        <f t="shared" si="5"/>
        <v>2335</v>
      </c>
      <c r="L38" s="51">
        <f t="shared" si="6"/>
        <v>10505</v>
      </c>
      <c r="M38" s="51">
        <f t="shared" si="7"/>
        <v>0</v>
      </c>
      <c r="O38" s="51">
        <v>35529</v>
      </c>
      <c r="P38" s="93">
        <v>58123</v>
      </c>
      <c r="Q38" s="51">
        <v>431009</v>
      </c>
      <c r="S38" s="93">
        <v>-1277</v>
      </c>
      <c r="T38" s="51">
        <v>-18856</v>
      </c>
      <c r="U38" s="93">
        <v>-187586</v>
      </c>
      <c r="W38" s="93">
        <v>1376643</v>
      </c>
      <c r="X38" s="93"/>
      <c r="Y38" s="93">
        <v>188391</v>
      </c>
      <c r="AA38" s="40"/>
    </row>
    <row r="39" spans="1:27" ht="20.100000000000001" customHeight="1" x14ac:dyDescent="0.25">
      <c r="A39" s="46">
        <v>133</v>
      </c>
      <c r="B39" s="67" t="s">
        <v>136</v>
      </c>
      <c r="C39" s="85">
        <f>'MFPRSI Supplemental Info 2015'!D39</f>
        <v>1.8580835610573547E-2</v>
      </c>
      <c r="D39" s="85">
        <v>1.8995700000000001E-2</v>
      </c>
      <c r="E39" s="93">
        <f>'MFPRSI Supplemental Info 2015'!W39</f>
        <v>8729540</v>
      </c>
      <c r="F39" s="93">
        <f t="shared" si="0"/>
        <v>8924452</v>
      </c>
      <c r="G39" s="93">
        <f t="shared" si="1"/>
        <v>194912</v>
      </c>
      <c r="H39" s="93">
        <f t="shared" si="2"/>
        <v>1429516</v>
      </c>
      <c r="I39" s="93">
        <f t="shared" si="3"/>
        <v>1429516</v>
      </c>
      <c r="J39" s="93">
        <f t="shared" si="4"/>
        <v>0</v>
      </c>
      <c r="K39" s="51">
        <f t="shared" si="5"/>
        <v>35439</v>
      </c>
      <c r="L39" s="51">
        <f t="shared" si="6"/>
        <v>159473</v>
      </c>
      <c r="M39" s="51">
        <f t="shared" si="7"/>
        <v>0</v>
      </c>
      <c r="O39" s="51">
        <v>306537</v>
      </c>
      <c r="P39" s="93">
        <v>501465</v>
      </c>
      <c r="Q39" s="51">
        <v>3718614</v>
      </c>
      <c r="S39" s="93">
        <v>-11015</v>
      </c>
      <c r="T39" s="51">
        <v>-162686</v>
      </c>
      <c r="U39" s="93">
        <v>-1618438</v>
      </c>
      <c r="W39" s="93">
        <v>11877269</v>
      </c>
      <c r="X39" s="93"/>
      <c r="Y39" s="93">
        <v>1625381</v>
      </c>
      <c r="AA39" s="40"/>
    </row>
    <row r="40" spans="1:27" ht="20.100000000000001" customHeight="1" x14ac:dyDescent="0.25">
      <c r="A40" s="46">
        <v>134</v>
      </c>
      <c r="B40" s="63" t="s">
        <v>137</v>
      </c>
      <c r="C40" s="85">
        <f>'MFPRSI Supplemental Info 2015'!D40</f>
        <v>1.5159812212181921E-2</v>
      </c>
      <c r="D40" s="85">
        <v>1.560279E-2</v>
      </c>
      <c r="E40" s="93">
        <f>'MFPRSI Supplemental Info 2015'!W40</f>
        <v>7122296</v>
      </c>
      <c r="F40" s="93">
        <f t="shared" si="0"/>
        <v>7330414</v>
      </c>
      <c r="G40" s="93">
        <f t="shared" si="1"/>
        <v>208118</v>
      </c>
      <c r="H40" s="93">
        <f t="shared" si="2"/>
        <v>1174184</v>
      </c>
      <c r="I40" s="93">
        <f t="shared" si="3"/>
        <v>1174184</v>
      </c>
      <c r="J40" s="93">
        <f t="shared" si="4"/>
        <v>0</v>
      </c>
      <c r="K40" s="51">
        <f t="shared" si="5"/>
        <v>37840</v>
      </c>
      <c r="L40" s="51">
        <f t="shared" si="6"/>
        <v>170278</v>
      </c>
      <c r="M40" s="51">
        <f t="shared" si="7"/>
        <v>0</v>
      </c>
      <c r="O40" s="51">
        <v>251785</v>
      </c>
      <c r="P40" s="93">
        <v>411896</v>
      </c>
      <c r="Q40" s="51">
        <v>3054415</v>
      </c>
      <c r="S40" s="93">
        <v>-9048</v>
      </c>
      <c r="T40" s="51">
        <v>-133628</v>
      </c>
      <c r="U40" s="93">
        <v>-1329361</v>
      </c>
      <c r="W40" s="93">
        <v>9755815</v>
      </c>
      <c r="X40" s="93"/>
      <c r="Y40" s="93">
        <v>1335064</v>
      </c>
      <c r="AA40" s="40"/>
    </row>
    <row r="41" spans="1:27" ht="20.100000000000001" customHeight="1" x14ac:dyDescent="0.25">
      <c r="A41" s="46">
        <v>135</v>
      </c>
      <c r="B41" s="67" t="s">
        <v>138</v>
      </c>
      <c r="C41" s="85">
        <f>'MFPRSI Supplemental Info 2015'!D41</f>
        <v>2.0837454861313963E-2</v>
      </c>
      <c r="D41" s="85">
        <v>2.039407E-2</v>
      </c>
      <c r="E41" s="93">
        <f>'MFPRSI Supplemental Info 2015'!W41</f>
        <v>9789737</v>
      </c>
      <c r="F41" s="93">
        <f t="shared" si="0"/>
        <v>9581426</v>
      </c>
      <c r="G41" s="93">
        <f t="shared" si="1"/>
        <v>-208311</v>
      </c>
      <c r="H41" s="93">
        <f t="shared" si="2"/>
        <v>1534750</v>
      </c>
      <c r="I41" s="93">
        <f t="shared" si="3"/>
        <v>1534750</v>
      </c>
      <c r="J41" s="93">
        <f t="shared" si="4"/>
        <v>0</v>
      </c>
      <c r="K41" s="51">
        <f t="shared" si="5"/>
        <v>-37875</v>
      </c>
      <c r="L41" s="51">
        <f t="shared" si="6"/>
        <v>0</v>
      </c>
      <c r="M41" s="51">
        <f t="shared" si="7"/>
        <v>-170436</v>
      </c>
      <c r="O41" s="51">
        <v>329103</v>
      </c>
      <c r="P41" s="93">
        <v>538380</v>
      </c>
      <c r="Q41" s="51">
        <v>3992360</v>
      </c>
      <c r="S41" s="93">
        <v>-11826</v>
      </c>
      <c r="T41" s="51">
        <v>-174663</v>
      </c>
      <c r="U41" s="93">
        <v>-1737579</v>
      </c>
      <c r="W41" s="93">
        <v>12751615</v>
      </c>
      <c r="X41" s="93"/>
      <c r="Y41" s="93">
        <v>1745034</v>
      </c>
      <c r="AA41" s="40"/>
    </row>
    <row r="42" spans="1:27" ht="20.100000000000001" customHeight="1" x14ac:dyDescent="0.25">
      <c r="A42" s="46">
        <v>136</v>
      </c>
      <c r="B42" s="67" t="s">
        <v>139</v>
      </c>
      <c r="C42" s="85">
        <f>'MFPRSI Supplemental Info 2015'!D42</f>
        <v>1.7595894656559901E-2</v>
      </c>
      <c r="D42" s="85">
        <v>1.7214070000000001E-2</v>
      </c>
      <c r="E42" s="93">
        <f>'MFPRSI Supplemental Info 2015'!W42</f>
        <v>8266801</v>
      </c>
      <c r="F42" s="93">
        <f t="shared" si="0"/>
        <v>8087417</v>
      </c>
      <c r="G42" s="93">
        <f t="shared" si="1"/>
        <v>-179384</v>
      </c>
      <c r="H42" s="93">
        <f t="shared" si="2"/>
        <v>1295440</v>
      </c>
      <c r="I42" s="93">
        <f t="shared" si="3"/>
        <v>1295440</v>
      </c>
      <c r="J42" s="93">
        <f t="shared" si="4"/>
        <v>0</v>
      </c>
      <c r="K42" s="51">
        <f t="shared" si="5"/>
        <v>-32615</v>
      </c>
      <c r="L42" s="51">
        <f t="shared" si="6"/>
        <v>0</v>
      </c>
      <c r="M42" s="51">
        <f t="shared" si="7"/>
        <v>-146769</v>
      </c>
      <c r="O42" s="51">
        <v>277787</v>
      </c>
      <c r="P42" s="93">
        <v>454432</v>
      </c>
      <c r="Q42" s="51">
        <v>3369841</v>
      </c>
      <c r="S42" s="93">
        <v>-9982</v>
      </c>
      <c r="T42" s="51">
        <v>-147428</v>
      </c>
      <c r="U42" s="93">
        <v>-1466642</v>
      </c>
      <c r="W42" s="93">
        <v>10763285</v>
      </c>
      <c r="X42" s="93"/>
      <c r="Y42" s="93">
        <v>1472935</v>
      </c>
      <c r="AA42" s="40"/>
    </row>
    <row r="43" spans="1:27" ht="20.100000000000001" customHeight="1" x14ac:dyDescent="0.25">
      <c r="A43" s="46">
        <v>137</v>
      </c>
      <c r="B43" s="67" t="s">
        <v>140</v>
      </c>
      <c r="C43" s="85">
        <f>'MFPRSI Supplemental Info 2015'!D43</f>
        <v>1.0909436128827438E-2</v>
      </c>
      <c r="D43" s="85">
        <v>1.064467E-2</v>
      </c>
      <c r="E43" s="93">
        <f>'MFPRSI Supplemental Info 2015'!W43</f>
        <v>5125407</v>
      </c>
      <c r="F43" s="93">
        <f t="shared" si="0"/>
        <v>5001018</v>
      </c>
      <c r="G43" s="93">
        <f t="shared" si="1"/>
        <v>-124389</v>
      </c>
      <c r="H43" s="93">
        <f t="shared" si="2"/>
        <v>801062</v>
      </c>
      <c r="I43" s="93">
        <f t="shared" si="3"/>
        <v>801062</v>
      </c>
      <c r="J43" s="93">
        <f t="shared" si="4"/>
        <v>0</v>
      </c>
      <c r="K43" s="51">
        <f t="shared" si="5"/>
        <v>-22616</v>
      </c>
      <c r="L43" s="51">
        <f t="shared" si="6"/>
        <v>0</v>
      </c>
      <c r="M43" s="51">
        <f t="shared" si="7"/>
        <v>-101773</v>
      </c>
      <c r="O43" s="51">
        <v>171775</v>
      </c>
      <c r="P43" s="93">
        <v>281007</v>
      </c>
      <c r="Q43" s="51">
        <v>2083809</v>
      </c>
      <c r="S43" s="93">
        <v>-6172</v>
      </c>
      <c r="T43" s="51">
        <v>-91165</v>
      </c>
      <c r="U43" s="93">
        <v>-906928</v>
      </c>
      <c r="W43" s="93">
        <v>6655696</v>
      </c>
      <c r="X43" s="93"/>
      <c r="Y43" s="93">
        <v>910819</v>
      </c>
      <c r="AA43" s="40"/>
    </row>
    <row r="44" spans="1:27" ht="20.100000000000001" customHeight="1" x14ac:dyDescent="0.25">
      <c r="A44" s="46">
        <v>138</v>
      </c>
      <c r="B44" s="67" t="s">
        <v>141</v>
      </c>
      <c r="C44" s="85">
        <f>'MFPRSI Supplemental Info 2015'!D44</f>
        <v>2.3002812714395474E-3</v>
      </c>
      <c r="D44" s="85">
        <v>2.2114299999999999E-3</v>
      </c>
      <c r="E44" s="93">
        <f>'MFPRSI Supplemental Info 2015'!W44</f>
        <v>1080705</v>
      </c>
      <c r="F44" s="93">
        <f t="shared" si="0"/>
        <v>1038962</v>
      </c>
      <c r="G44" s="93">
        <f t="shared" si="1"/>
        <v>-41743</v>
      </c>
      <c r="H44" s="93">
        <f t="shared" si="2"/>
        <v>166421</v>
      </c>
      <c r="I44" s="93">
        <f t="shared" si="3"/>
        <v>166421</v>
      </c>
      <c r="J44" s="93">
        <f t="shared" si="4"/>
        <v>0</v>
      </c>
      <c r="K44" s="51">
        <f t="shared" si="5"/>
        <v>-7590</v>
      </c>
      <c r="L44" s="51">
        <f t="shared" si="6"/>
        <v>0</v>
      </c>
      <c r="M44" s="51">
        <f t="shared" si="7"/>
        <v>-34153</v>
      </c>
      <c r="O44" s="51">
        <v>35686</v>
      </c>
      <c r="P44" s="93">
        <v>58379</v>
      </c>
      <c r="Q44" s="51">
        <v>432911</v>
      </c>
      <c r="S44" s="93">
        <v>-1282</v>
      </c>
      <c r="T44" s="51">
        <v>-18940</v>
      </c>
      <c r="U44" s="93">
        <v>-188414</v>
      </c>
      <c r="W44" s="93">
        <v>1382721</v>
      </c>
      <c r="X44" s="93"/>
      <c r="Y44" s="93">
        <v>189223</v>
      </c>
      <c r="AA44" s="40"/>
    </row>
    <row r="45" spans="1:27" ht="20.100000000000001" customHeight="1" x14ac:dyDescent="0.25">
      <c r="A45" s="46">
        <v>139</v>
      </c>
      <c r="B45" s="63" t="s">
        <v>142</v>
      </c>
      <c r="C45" s="85">
        <f>'MFPRSI Supplemental Info 2015'!D45</f>
        <v>4.907776646017741E-3</v>
      </c>
      <c r="D45" s="85">
        <v>4.8058399999999996E-3</v>
      </c>
      <c r="E45" s="93">
        <f>'MFPRSI Supplemental Info 2015'!W45</f>
        <v>2305745</v>
      </c>
      <c r="F45" s="93">
        <f t="shared" si="0"/>
        <v>2257852</v>
      </c>
      <c r="G45" s="93">
        <f t="shared" si="1"/>
        <v>-47893</v>
      </c>
      <c r="H45" s="93">
        <f t="shared" si="2"/>
        <v>361662</v>
      </c>
      <c r="I45" s="93">
        <f t="shared" si="3"/>
        <v>361662</v>
      </c>
      <c r="J45" s="93">
        <f t="shared" si="4"/>
        <v>0</v>
      </c>
      <c r="K45" s="51">
        <f t="shared" si="5"/>
        <v>-8708</v>
      </c>
      <c r="L45" s="51">
        <f t="shared" si="6"/>
        <v>0</v>
      </c>
      <c r="M45" s="51">
        <f t="shared" si="7"/>
        <v>-39185</v>
      </c>
      <c r="O45" s="51">
        <v>77553</v>
      </c>
      <c r="P45" s="93">
        <v>126869</v>
      </c>
      <c r="Q45" s="51">
        <v>940795</v>
      </c>
      <c r="S45" s="93">
        <v>-2787</v>
      </c>
      <c r="T45" s="51">
        <v>-41159</v>
      </c>
      <c r="U45" s="93">
        <v>-409459</v>
      </c>
      <c r="W45" s="93">
        <v>3004904</v>
      </c>
      <c r="X45" s="93"/>
      <c r="Y45" s="93">
        <v>411215</v>
      </c>
      <c r="AA45" s="40"/>
    </row>
    <row r="46" spans="1:27" ht="20.100000000000001" customHeight="1" x14ac:dyDescent="0.25">
      <c r="A46" s="46">
        <v>140</v>
      </c>
      <c r="B46" s="67" t="s">
        <v>143</v>
      </c>
      <c r="C46" s="85">
        <f>'MFPRSI Supplemental Info 2015'!D46</f>
        <v>1.459245673011616E-2</v>
      </c>
      <c r="D46" s="85">
        <v>1.432455E-2</v>
      </c>
      <c r="E46" s="93">
        <f>'MFPRSI Supplemental Info 2015'!W46</f>
        <v>6855747</v>
      </c>
      <c r="F46" s="93">
        <f t="shared" si="0"/>
        <v>6729879</v>
      </c>
      <c r="G46" s="93">
        <f t="shared" si="1"/>
        <v>-125868</v>
      </c>
      <c r="H46" s="93">
        <f t="shared" si="2"/>
        <v>1077990</v>
      </c>
      <c r="I46" s="93">
        <f t="shared" si="3"/>
        <v>1077990</v>
      </c>
      <c r="J46" s="93">
        <f t="shared" si="4"/>
        <v>0</v>
      </c>
      <c r="K46" s="51">
        <f t="shared" si="5"/>
        <v>-22885</v>
      </c>
      <c r="L46" s="51">
        <f t="shared" si="6"/>
        <v>0</v>
      </c>
      <c r="M46" s="51">
        <f t="shared" si="7"/>
        <v>-102983</v>
      </c>
      <c r="O46" s="51">
        <v>231158</v>
      </c>
      <c r="P46" s="93">
        <v>378152</v>
      </c>
      <c r="Q46" s="51">
        <v>2804186</v>
      </c>
      <c r="S46" s="93">
        <v>-8306</v>
      </c>
      <c r="T46" s="51">
        <v>-122681</v>
      </c>
      <c r="U46" s="93">
        <v>-1220455</v>
      </c>
      <c r="W46" s="93">
        <v>8956582</v>
      </c>
      <c r="X46" s="93"/>
      <c r="Y46" s="93">
        <v>1225691</v>
      </c>
      <c r="AA46" s="40"/>
    </row>
    <row r="47" spans="1:27" ht="20.100000000000001" customHeight="1" x14ac:dyDescent="0.25">
      <c r="A47" s="46">
        <v>141</v>
      </c>
      <c r="B47" s="68" t="s">
        <v>144</v>
      </c>
      <c r="C47" s="85">
        <f>'MFPRSI Supplemental Info 2015'!D47</f>
        <v>3.2883821419426211E-3</v>
      </c>
      <c r="D47" s="85">
        <v>3.34439E-3</v>
      </c>
      <c r="E47" s="93">
        <f>'MFPRSI Supplemental Info 2015'!W47</f>
        <v>1544928</v>
      </c>
      <c r="F47" s="93">
        <f t="shared" si="0"/>
        <v>1571242</v>
      </c>
      <c r="G47" s="93">
        <f t="shared" si="1"/>
        <v>26314</v>
      </c>
      <c r="H47" s="93">
        <f t="shared" si="2"/>
        <v>251681</v>
      </c>
      <c r="I47" s="93">
        <f t="shared" si="3"/>
        <v>251681</v>
      </c>
      <c r="J47" s="93">
        <f t="shared" si="4"/>
        <v>0</v>
      </c>
      <c r="K47" s="51">
        <f t="shared" si="5"/>
        <v>4784</v>
      </c>
      <c r="L47" s="51">
        <f t="shared" si="6"/>
        <v>21530</v>
      </c>
      <c r="M47" s="51">
        <f t="shared" si="7"/>
        <v>0</v>
      </c>
      <c r="O47" s="51">
        <v>53969</v>
      </c>
      <c r="P47" s="93">
        <v>88288</v>
      </c>
      <c r="Q47" s="51">
        <v>654701</v>
      </c>
      <c r="S47" s="93">
        <v>-1939</v>
      </c>
      <c r="T47" s="51">
        <v>-28643</v>
      </c>
      <c r="U47" s="93">
        <v>-284943</v>
      </c>
      <c r="W47" s="93">
        <v>2091116</v>
      </c>
      <c r="X47" s="93"/>
      <c r="Y47" s="93">
        <v>286165</v>
      </c>
      <c r="AA47" s="40"/>
    </row>
    <row r="48" spans="1:27" ht="20.100000000000001" customHeight="1" x14ac:dyDescent="0.25">
      <c r="A48" s="46">
        <v>142</v>
      </c>
      <c r="B48" s="63" t="s">
        <v>145</v>
      </c>
      <c r="C48" s="85">
        <f>'MFPRSI Supplemental Info 2015'!D48</f>
        <v>6.3433605634121065E-2</v>
      </c>
      <c r="D48" s="85">
        <v>6.2975229999999993E-2</v>
      </c>
      <c r="E48" s="93">
        <f>'MFPRSI Supplemental Info 2015'!W48</f>
        <v>29802019</v>
      </c>
      <c r="F48" s="93">
        <f t="shared" si="0"/>
        <v>29586665</v>
      </c>
      <c r="G48" s="93">
        <f t="shared" si="1"/>
        <v>-215354</v>
      </c>
      <c r="H48" s="93">
        <f t="shared" si="2"/>
        <v>4739184</v>
      </c>
      <c r="I48" s="93">
        <f t="shared" si="3"/>
        <v>4739184</v>
      </c>
      <c r="J48" s="93">
        <f t="shared" si="4"/>
        <v>0</v>
      </c>
      <c r="K48" s="51">
        <f t="shared" si="5"/>
        <v>-39155</v>
      </c>
      <c r="L48" s="51">
        <f t="shared" si="6"/>
        <v>0</v>
      </c>
      <c r="M48" s="51">
        <f t="shared" si="7"/>
        <v>-176199</v>
      </c>
      <c r="O48" s="51">
        <v>1016243</v>
      </c>
      <c r="P48" s="93">
        <v>1662474</v>
      </c>
      <c r="Q48" s="51">
        <v>12328083</v>
      </c>
      <c r="S48" s="93">
        <v>-36517</v>
      </c>
      <c r="T48" s="51">
        <v>-539344</v>
      </c>
      <c r="U48" s="93">
        <v>-5365503</v>
      </c>
      <c r="W48" s="93">
        <v>39375951</v>
      </c>
      <c r="X48" s="93"/>
      <c r="Y48" s="93">
        <v>5388523</v>
      </c>
      <c r="AA48" s="40"/>
    </row>
    <row r="49" spans="1:27" ht="20.100000000000001" customHeight="1" x14ac:dyDescent="0.25">
      <c r="A49" s="46">
        <v>143</v>
      </c>
      <c r="B49" s="63" t="s">
        <v>146</v>
      </c>
      <c r="C49" s="85">
        <f>'MFPRSI Supplemental Info 2015'!D49</f>
        <v>4.9503226644646561E-3</v>
      </c>
      <c r="D49" s="85">
        <v>5.0313800000000002E-3</v>
      </c>
      <c r="E49" s="93">
        <f>'MFPRSI Supplemental Info 2015'!W49</f>
        <v>2325731</v>
      </c>
      <c r="F49" s="93">
        <f t="shared" si="0"/>
        <v>2363814</v>
      </c>
      <c r="G49" s="93">
        <f t="shared" si="1"/>
        <v>38083</v>
      </c>
      <c r="H49" s="93">
        <f t="shared" si="2"/>
        <v>378635</v>
      </c>
      <c r="I49" s="93">
        <f t="shared" si="3"/>
        <v>378635</v>
      </c>
      <c r="J49" s="93">
        <f t="shared" si="4"/>
        <v>0</v>
      </c>
      <c r="K49" s="51">
        <f t="shared" si="5"/>
        <v>6924</v>
      </c>
      <c r="L49" s="51">
        <f t="shared" si="6"/>
        <v>31159</v>
      </c>
      <c r="M49" s="51">
        <f t="shared" si="7"/>
        <v>0</v>
      </c>
      <c r="O49" s="51">
        <v>81192</v>
      </c>
      <c r="P49" s="93">
        <v>132823</v>
      </c>
      <c r="Q49" s="51">
        <v>984947</v>
      </c>
      <c r="S49" s="93">
        <v>-2918</v>
      </c>
      <c r="T49" s="51">
        <v>-43091</v>
      </c>
      <c r="U49" s="93">
        <v>-428675</v>
      </c>
      <c r="W49" s="93">
        <v>3145925</v>
      </c>
      <c r="X49" s="93"/>
      <c r="Y49" s="93">
        <v>430514</v>
      </c>
      <c r="AA49" s="40"/>
    </row>
    <row r="50" spans="1:27" ht="20.100000000000001" customHeight="1" x14ac:dyDescent="0.25">
      <c r="A50" s="46">
        <v>144</v>
      </c>
      <c r="B50" s="63" t="s">
        <v>147</v>
      </c>
      <c r="C50" s="85">
        <f>'MFPRSI Supplemental Info 2015'!D50</f>
        <v>3.7970409212821792E-3</v>
      </c>
      <c r="D50" s="85">
        <v>3.3881200000000001E-3</v>
      </c>
      <c r="E50" s="93">
        <f>'MFPRSI Supplemental Info 2015'!W50</f>
        <v>1783904</v>
      </c>
      <c r="F50" s="93">
        <f t="shared" si="0"/>
        <v>1591787</v>
      </c>
      <c r="G50" s="93">
        <f t="shared" si="1"/>
        <v>-192117</v>
      </c>
      <c r="H50" s="93">
        <f t="shared" si="2"/>
        <v>254972</v>
      </c>
      <c r="I50" s="93">
        <f t="shared" si="3"/>
        <v>254972</v>
      </c>
      <c r="J50" s="93">
        <f t="shared" si="4"/>
        <v>0</v>
      </c>
      <c r="K50" s="51">
        <f t="shared" si="5"/>
        <v>-34930</v>
      </c>
      <c r="L50" s="51">
        <f t="shared" si="6"/>
        <v>0</v>
      </c>
      <c r="M50" s="51">
        <f t="shared" si="7"/>
        <v>-157187</v>
      </c>
      <c r="O50" s="51">
        <v>54675</v>
      </c>
      <c r="P50" s="93">
        <v>89443</v>
      </c>
      <c r="Q50" s="51">
        <v>663261</v>
      </c>
      <c r="S50" s="93">
        <v>-1965</v>
      </c>
      <c r="T50" s="51">
        <v>-29017</v>
      </c>
      <c r="U50" s="93">
        <v>-288669</v>
      </c>
      <c r="W50" s="93">
        <v>2118459</v>
      </c>
      <c r="X50" s="93"/>
      <c r="Y50" s="93">
        <v>289907</v>
      </c>
      <c r="AA50" s="40"/>
    </row>
    <row r="51" spans="1:27" ht="20.100000000000001" customHeight="1" x14ac:dyDescent="0.25">
      <c r="A51" s="46">
        <v>145</v>
      </c>
      <c r="B51" s="63" t="s">
        <v>148</v>
      </c>
      <c r="C51" s="85">
        <f>'MFPRSI Supplemental Info 2015'!D51</f>
        <v>1.8926532982386991E-2</v>
      </c>
      <c r="D51" s="85">
        <v>1.9366149999999999E-2</v>
      </c>
      <c r="E51" s="93">
        <f>'MFPRSI Supplemental Info 2015'!W51</f>
        <v>8891955</v>
      </c>
      <c r="F51" s="93">
        <f t="shared" si="0"/>
        <v>9098495</v>
      </c>
      <c r="G51" s="93">
        <f t="shared" si="1"/>
        <v>206540</v>
      </c>
      <c r="H51" s="93">
        <f t="shared" si="2"/>
        <v>1457394</v>
      </c>
      <c r="I51" s="93">
        <f t="shared" si="3"/>
        <v>1457394</v>
      </c>
      <c r="J51" s="93">
        <f t="shared" si="4"/>
        <v>0</v>
      </c>
      <c r="K51" s="51">
        <f t="shared" si="5"/>
        <v>37553</v>
      </c>
      <c r="L51" s="51">
        <f t="shared" si="6"/>
        <v>168987</v>
      </c>
      <c r="M51" s="51">
        <f t="shared" si="7"/>
        <v>0</v>
      </c>
      <c r="O51" s="51">
        <v>312515</v>
      </c>
      <c r="P51" s="93">
        <v>511244</v>
      </c>
      <c r="Q51" s="51">
        <v>3791134</v>
      </c>
      <c r="S51" s="93">
        <v>-11230</v>
      </c>
      <c r="T51" s="51">
        <v>-165859</v>
      </c>
      <c r="U51" s="93">
        <v>-1650000</v>
      </c>
      <c r="W51" s="93">
        <v>12108897</v>
      </c>
      <c r="X51" s="93"/>
      <c r="Y51" s="93">
        <v>1657079</v>
      </c>
      <c r="AA51" s="40"/>
    </row>
    <row r="52" spans="1:27" ht="20.100000000000001" customHeight="1" x14ac:dyDescent="0.25">
      <c r="A52" s="46">
        <v>146</v>
      </c>
      <c r="B52" s="63" t="s">
        <v>149</v>
      </c>
      <c r="C52" s="85">
        <f>'MFPRSI Supplemental Info 2015'!D52</f>
        <v>5.7245348066870302E-2</v>
      </c>
      <c r="D52" s="85">
        <v>5.6883620000000003E-2</v>
      </c>
      <c r="E52" s="93">
        <f>'MFPRSI Supplemental Info 2015'!W52</f>
        <v>26894686</v>
      </c>
      <c r="F52" s="93">
        <f t="shared" si="0"/>
        <v>26724740</v>
      </c>
      <c r="G52" s="93">
        <f t="shared" si="1"/>
        <v>-169946</v>
      </c>
      <c r="H52" s="93">
        <f t="shared" si="2"/>
        <v>4280761</v>
      </c>
      <c r="I52" s="93">
        <f t="shared" si="3"/>
        <v>4280761</v>
      </c>
      <c r="J52" s="93">
        <f t="shared" si="4"/>
        <v>0</v>
      </c>
      <c r="K52" s="51">
        <f t="shared" si="5"/>
        <v>-30899</v>
      </c>
      <c r="L52" s="51">
        <f t="shared" si="6"/>
        <v>0</v>
      </c>
      <c r="M52" s="51">
        <f t="shared" si="7"/>
        <v>-139047</v>
      </c>
      <c r="O52" s="51">
        <v>917941</v>
      </c>
      <c r="P52" s="93">
        <v>1501663</v>
      </c>
      <c r="Q52" s="51">
        <v>11135584</v>
      </c>
      <c r="S52" s="93">
        <v>-32985</v>
      </c>
      <c r="T52" s="51">
        <v>-487173</v>
      </c>
      <c r="U52" s="93">
        <v>-4846496</v>
      </c>
      <c r="W52" s="93">
        <v>35567105</v>
      </c>
      <c r="X52" s="93"/>
      <c r="Y52" s="93">
        <v>4867290</v>
      </c>
      <c r="AA52" s="40"/>
    </row>
    <row r="53" spans="1:27" ht="20.100000000000001" customHeight="1" x14ac:dyDescent="0.25">
      <c r="A53" s="46">
        <v>147</v>
      </c>
      <c r="B53" s="63" t="s">
        <v>150</v>
      </c>
      <c r="C53" s="85">
        <f>'MFPRSI Supplemental Info 2015'!D53</f>
        <v>3.6046872746639414E-3</v>
      </c>
      <c r="D53" s="85">
        <v>3.6576400000000002E-3</v>
      </c>
      <c r="E53" s="93">
        <f>'MFPRSI Supplemental Info 2015'!W53</f>
        <v>1693535</v>
      </c>
      <c r="F53" s="93">
        <f t="shared" si="0"/>
        <v>1718412</v>
      </c>
      <c r="G53" s="93">
        <f t="shared" si="1"/>
        <v>24877</v>
      </c>
      <c r="H53" s="93">
        <f t="shared" si="2"/>
        <v>275255</v>
      </c>
      <c r="I53" s="93">
        <f t="shared" si="3"/>
        <v>275255</v>
      </c>
      <c r="J53" s="93">
        <f t="shared" si="4"/>
        <v>0</v>
      </c>
      <c r="K53" s="51">
        <f t="shared" si="5"/>
        <v>4523</v>
      </c>
      <c r="L53" s="51">
        <f t="shared" si="6"/>
        <v>20354</v>
      </c>
      <c r="M53" s="51">
        <f t="shared" si="7"/>
        <v>0</v>
      </c>
      <c r="O53" s="51">
        <v>59024</v>
      </c>
      <c r="P53" s="93">
        <v>96558</v>
      </c>
      <c r="Q53" s="51">
        <v>716023</v>
      </c>
      <c r="S53" s="93">
        <v>-2121</v>
      </c>
      <c r="T53" s="51">
        <v>-31325</v>
      </c>
      <c r="U53" s="93">
        <v>-311632</v>
      </c>
      <c r="W53" s="93">
        <v>2286979</v>
      </c>
      <c r="X53" s="93"/>
      <c r="Y53" s="93">
        <v>312969</v>
      </c>
      <c r="AA53" s="40"/>
    </row>
    <row r="54" spans="1:27" ht="20.100000000000001" customHeight="1" x14ac:dyDescent="0.25">
      <c r="A54" s="46">
        <v>148</v>
      </c>
      <c r="B54" s="63" t="s">
        <v>151</v>
      </c>
      <c r="C54" s="85">
        <f>'MFPRSI Supplemental Info 2015'!D54</f>
        <v>2.8125764626121754E-3</v>
      </c>
      <c r="D54" s="85">
        <v>3.1196700000000002E-3</v>
      </c>
      <c r="E54" s="93">
        <f>'MFPRSI Supplemental Info 2015'!W54</f>
        <v>1321390</v>
      </c>
      <c r="F54" s="93">
        <f t="shared" si="0"/>
        <v>1465666</v>
      </c>
      <c r="G54" s="93">
        <f t="shared" si="1"/>
        <v>144276</v>
      </c>
      <c r="H54" s="93">
        <f t="shared" si="2"/>
        <v>234770</v>
      </c>
      <c r="I54" s="93">
        <f t="shared" si="3"/>
        <v>234770</v>
      </c>
      <c r="J54" s="93">
        <f t="shared" si="4"/>
        <v>0</v>
      </c>
      <c r="K54" s="51">
        <f t="shared" si="5"/>
        <v>26232</v>
      </c>
      <c r="L54" s="51">
        <f t="shared" si="6"/>
        <v>118044</v>
      </c>
      <c r="M54" s="51">
        <f t="shared" si="7"/>
        <v>0</v>
      </c>
      <c r="O54" s="51">
        <v>50343</v>
      </c>
      <c r="P54" s="93">
        <v>82356</v>
      </c>
      <c r="Q54" s="51">
        <v>610709</v>
      </c>
      <c r="S54" s="93">
        <v>-1809</v>
      </c>
      <c r="T54" s="51">
        <v>-26718</v>
      </c>
      <c r="U54" s="93">
        <v>-265797</v>
      </c>
      <c r="W54" s="93">
        <v>1950608</v>
      </c>
      <c r="X54" s="93"/>
      <c r="Y54" s="93">
        <v>266937</v>
      </c>
      <c r="AA54" s="40"/>
    </row>
    <row r="55" spans="1:27" ht="19.5" customHeight="1" x14ac:dyDescent="0.25">
      <c r="A55" s="46">
        <v>149</v>
      </c>
      <c r="B55" s="63" t="s">
        <v>152</v>
      </c>
      <c r="C55" s="85">
        <f>'MFPRSI Supplemental Info 2015'!D55</f>
        <v>3.1567440335854985E-2</v>
      </c>
      <c r="D55" s="85">
        <v>3.1945040000000001E-2</v>
      </c>
      <c r="E55" s="93">
        <f>'MFPRSI Supplemental Info 2015'!W55</f>
        <v>14830836</v>
      </c>
      <c r="F55" s="93">
        <f t="shared" si="0"/>
        <v>15008238</v>
      </c>
      <c r="G55" s="93">
        <f t="shared" si="1"/>
        <v>177402</v>
      </c>
      <c r="H55" s="93">
        <f t="shared" si="2"/>
        <v>2404015</v>
      </c>
      <c r="I55" s="93">
        <f t="shared" si="3"/>
        <v>2404015</v>
      </c>
      <c r="J55" s="93">
        <f t="shared" si="4"/>
        <v>0</v>
      </c>
      <c r="K55" s="51">
        <f t="shared" si="5"/>
        <v>32255</v>
      </c>
      <c r="L55" s="51">
        <f t="shared" si="6"/>
        <v>145147</v>
      </c>
      <c r="M55" s="51">
        <f t="shared" si="7"/>
        <v>0</v>
      </c>
      <c r="O55" s="51">
        <v>515503</v>
      </c>
      <c r="P55" s="93">
        <v>843313</v>
      </c>
      <c r="Q55" s="51">
        <v>6253587</v>
      </c>
      <c r="S55" s="93">
        <v>-18524</v>
      </c>
      <c r="T55" s="51">
        <v>-273589</v>
      </c>
      <c r="U55" s="93">
        <v>-2721724</v>
      </c>
      <c r="W55" s="93">
        <v>19973986</v>
      </c>
      <c r="X55" s="93"/>
      <c r="Y55" s="93">
        <v>2733401</v>
      </c>
      <c r="AA55" s="40"/>
    </row>
    <row r="56" spans="1:27" x14ac:dyDescent="0.25">
      <c r="E56" s="94"/>
      <c r="U56" s="93"/>
      <c r="W56" s="51"/>
      <c r="X56" s="51"/>
      <c r="Y56" s="93"/>
    </row>
    <row r="57" spans="1:27" x14ac:dyDescent="0.25">
      <c r="C57" s="89">
        <f t="shared" ref="C57:I57" si="8">SUM(C7:C56)</f>
        <v>0.99999999999999967</v>
      </c>
      <c r="D57" s="89">
        <f t="shared" si="8"/>
        <v>0.99999999000000006</v>
      </c>
      <c r="E57" s="93">
        <f>SUM(E7:E56)+E61</f>
        <v>469814329</v>
      </c>
      <c r="F57" s="93">
        <f>SUM(F7:F56)+F61</f>
        <v>469814329</v>
      </c>
      <c r="G57" s="93">
        <f>SUM(G7:G56)+G61</f>
        <v>0</v>
      </c>
      <c r="H57" s="93">
        <f>SUM(H7:H56)+H61</f>
        <v>75254727</v>
      </c>
      <c r="I57" s="94">
        <f t="shared" si="8"/>
        <v>75254728</v>
      </c>
      <c r="J57" s="90">
        <f>SUM(J7:J56)</f>
        <v>0</v>
      </c>
      <c r="K57" s="90"/>
      <c r="L57" s="93">
        <f t="shared" ref="L57" si="9">SUM(L7:L56)</f>
        <v>1961208</v>
      </c>
      <c r="M57" s="93">
        <f>SUM(M7:M56)</f>
        <v>-1961216</v>
      </c>
      <c r="O57" s="93">
        <f>SUM(O7:O56)</f>
        <v>16137185</v>
      </c>
      <c r="P57" s="93">
        <f>SUM(P7:P56)</f>
        <v>26398859</v>
      </c>
      <c r="Q57" s="93">
        <f>SUM(Q7:Q56)</f>
        <v>195760827</v>
      </c>
      <c r="S57" s="93">
        <f>SUM(S7:S56)</f>
        <v>-579866</v>
      </c>
      <c r="T57" s="93">
        <f>SUM(T7:T56)</f>
        <v>-8564379</v>
      </c>
      <c r="U57" s="93">
        <f>SUM(U7:U56)+U61</f>
        <v>-85200210</v>
      </c>
      <c r="V57" s="93"/>
      <c r="W57" s="93">
        <f>SUM(W7:W56)+W61</f>
        <v>625260934</v>
      </c>
      <c r="X57" s="93"/>
      <c r="Y57" s="93">
        <f>SUM(Y7:Y56)+Y61</f>
        <v>85565751</v>
      </c>
    </row>
    <row r="58" spans="1:27" x14ac:dyDescent="0.25">
      <c r="C58" s="89"/>
      <c r="D58" s="89"/>
      <c r="E58" s="93"/>
      <c r="F58" s="93"/>
      <c r="H58" s="94"/>
      <c r="K58" s="90"/>
      <c r="L58" s="93"/>
      <c r="M58" s="93"/>
      <c r="O58" s="93"/>
      <c r="P58" s="93"/>
      <c r="Q58" s="93"/>
      <c r="S58" s="93"/>
      <c r="T58" s="93"/>
      <c r="U58" s="93"/>
      <c r="V58" s="93"/>
      <c r="W58" s="93"/>
      <c r="X58" s="93"/>
      <c r="Y58" s="93"/>
    </row>
    <row r="59" spans="1:27" x14ac:dyDescent="0.25">
      <c r="E59" s="93"/>
      <c r="F59" s="93"/>
      <c r="K59" s="90"/>
      <c r="L59" s="93"/>
      <c r="M59" s="93"/>
      <c r="O59" t="s">
        <v>60</v>
      </c>
      <c r="P59" s="50"/>
      <c r="Q59" s="89"/>
      <c r="R59" s="89"/>
      <c r="S59" s="94"/>
      <c r="T59" s="94"/>
      <c r="U59" s="90">
        <v>5.5</v>
      </c>
      <c r="V59" s="28" t="s">
        <v>61</v>
      </c>
      <c r="W59" s="93"/>
      <c r="X59" s="93"/>
      <c r="Y59" s="93"/>
    </row>
    <row r="60" spans="1:27" x14ac:dyDescent="0.25">
      <c r="E60" s="50"/>
      <c r="F60" s="50"/>
      <c r="O60" t="s">
        <v>196</v>
      </c>
      <c r="U60" s="99">
        <v>75254727</v>
      </c>
    </row>
    <row r="61" spans="1:27" x14ac:dyDescent="0.25">
      <c r="B61" s="50" t="s">
        <v>153</v>
      </c>
      <c r="E61" s="50">
        <v>0</v>
      </c>
      <c r="F61" s="50">
        <v>7</v>
      </c>
      <c r="G61" s="90">
        <v>7</v>
      </c>
      <c r="H61" s="90">
        <v>-1</v>
      </c>
      <c r="K61" s="50">
        <v>-1</v>
      </c>
      <c r="U61" s="93"/>
      <c r="W61" s="50">
        <v>0</v>
      </c>
      <c r="Y61" s="50">
        <v>0</v>
      </c>
    </row>
  </sheetData>
  <sheetProtection algorithmName="SHA-512" hashValue="zwvFkdzVrHjrbt98ro2tSXriCnZi8054ZYd7FlQn8wV3K3+R82FfjP6sk7fnO7KOVRXs8M3FVWWG4EzF0hlkJw==" saltValue="DfH86PC+0lIDGv2j2/fCjg==" spinCount="100000" sheet="1" objects="1" scenarios="1"/>
  <mergeCells count="3">
    <mergeCell ref="K3:M3"/>
    <mergeCell ref="O3:Q3"/>
    <mergeCell ref="S3:U3"/>
  </mergeCells>
  <pageMargins left="0.5" right="0.25" top="1" bottom="0.5" header="0.3" footer="0.3"/>
  <pageSetup orientation="landscape" r:id="rId1"/>
  <headerFooter>
    <oddHeader>&amp;L&amp;"-,Bold"&amp;14MUNICIPAL FIRE AND POLICE RETIREMENT SYSTEM OF IOWA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61"/>
  <sheetViews>
    <sheetView zoomScaleNormal="100" workbookViewId="0">
      <pane xSplit="2" ySplit="6" topLeftCell="C37" activePane="bottomRight" state="frozen"/>
      <selection pane="topRight" activeCell="C1" sqref="C1"/>
      <selection pane="bottomLeft" activeCell="A7" sqref="A7"/>
      <selection pane="bottomRight" activeCell="L57" sqref="L57"/>
    </sheetView>
  </sheetViews>
  <sheetFormatPr defaultRowHeight="15" x14ac:dyDescent="0.25"/>
  <cols>
    <col min="1" max="1" width="3.5703125" style="46" bestFit="1" customWidth="1"/>
    <col min="2" max="2" width="15" style="50" bestFit="1" customWidth="1"/>
    <col min="3" max="3" width="10.7109375" style="48" bestFit="1" customWidth="1"/>
    <col min="4" max="4" width="10.7109375" style="49" bestFit="1" customWidth="1"/>
    <col min="5" max="5" width="11.140625" style="49" bestFit="1" customWidth="1"/>
    <col min="6" max="6" width="10.7109375" style="49" bestFit="1" customWidth="1"/>
    <col min="7" max="7" width="9.7109375" style="49" bestFit="1" customWidth="1"/>
    <col min="8" max="9" width="9.85546875" style="49" bestFit="1" customWidth="1"/>
    <col min="10" max="10" width="11.140625" style="49" customWidth="1"/>
    <col min="11" max="11" width="8.7109375" style="50" bestFit="1" customWidth="1"/>
    <col min="12" max="12" width="9.28515625" style="50" bestFit="1" customWidth="1"/>
    <col min="13" max="13" width="9.7109375" style="50" bestFit="1" customWidth="1"/>
    <col min="14" max="14" width="0.85546875" style="50" customWidth="1"/>
    <col min="15" max="15" width="10.7109375" style="50" bestFit="1" customWidth="1"/>
    <col min="16" max="16" width="12.42578125" style="51" bestFit="1" customWidth="1"/>
    <col min="17" max="17" width="10.140625" style="50" customWidth="1"/>
    <col min="18" max="18" width="2.7109375" style="50" customWidth="1"/>
    <col min="19" max="19" width="10.7109375" style="50" bestFit="1" customWidth="1"/>
    <col min="20" max="20" width="11.7109375" style="50" customWidth="1"/>
    <col min="21" max="21" width="12.7109375" style="50" bestFit="1" customWidth="1"/>
    <col min="22" max="22" width="2.7109375" style="50" customWidth="1"/>
    <col min="23" max="23" width="12.7109375" style="50" bestFit="1" customWidth="1"/>
    <col min="24" max="24" width="2.7109375" style="50" customWidth="1"/>
    <col min="25" max="25" width="11.140625" style="50" bestFit="1" customWidth="1"/>
    <col min="27" max="27" width="11.28515625" bestFit="1" customWidth="1"/>
  </cols>
  <sheetData>
    <row r="1" spans="1:27" x14ac:dyDescent="0.25">
      <c r="C1" s="47" t="s">
        <v>157</v>
      </c>
      <c r="O1" s="47" t="s">
        <v>158</v>
      </c>
    </row>
    <row r="3" spans="1:27" x14ac:dyDescent="0.25">
      <c r="H3" s="52" t="s">
        <v>78</v>
      </c>
      <c r="K3" s="172" t="s">
        <v>79</v>
      </c>
      <c r="L3" s="172"/>
      <c r="M3" s="172"/>
      <c r="O3" s="171" t="s">
        <v>27</v>
      </c>
      <c r="P3" s="171"/>
      <c r="Q3" s="171"/>
      <c r="S3" s="171" t="s">
        <v>30</v>
      </c>
      <c r="T3" s="171"/>
      <c r="U3" s="171"/>
    </row>
    <row r="4" spans="1:27" x14ac:dyDescent="0.25">
      <c r="C4" s="54">
        <v>41820</v>
      </c>
      <c r="D4" s="54">
        <v>42185</v>
      </c>
      <c r="E4" s="54">
        <v>41820</v>
      </c>
      <c r="G4" s="52" t="s">
        <v>80</v>
      </c>
      <c r="H4" s="52" t="s">
        <v>49</v>
      </c>
      <c r="I4" s="52" t="s">
        <v>49</v>
      </c>
      <c r="J4" s="52" t="s">
        <v>81</v>
      </c>
      <c r="O4" s="52" t="s">
        <v>82</v>
      </c>
      <c r="Q4" s="52" t="s">
        <v>83</v>
      </c>
      <c r="R4" s="52"/>
      <c r="S4" s="52" t="s">
        <v>82</v>
      </c>
      <c r="U4" s="52" t="s">
        <v>83</v>
      </c>
      <c r="V4" s="52"/>
      <c r="W4" s="52" t="s">
        <v>159</v>
      </c>
      <c r="X4" s="52"/>
      <c r="Y4" s="46" t="s">
        <v>84</v>
      </c>
    </row>
    <row r="5" spans="1:27" x14ac:dyDescent="0.25">
      <c r="A5" s="46" t="s">
        <v>154</v>
      </c>
      <c r="C5" s="55" t="s">
        <v>85</v>
      </c>
      <c r="D5" s="55" t="s">
        <v>85</v>
      </c>
      <c r="E5" s="52" t="s">
        <v>86</v>
      </c>
      <c r="F5" s="52" t="s">
        <v>87</v>
      </c>
      <c r="G5" s="52" t="s">
        <v>85</v>
      </c>
      <c r="H5" s="52" t="s">
        <v>88</v>
      </c>
      <c r="I5" s="52" t="s">
        <v>88</v>
      </c>
      <c r="J5" s="52" t="s">
        <v>89</v>
      </c>
      <c r="K5" s="52" t="s">
        <v>90</v>
      </c>
      <c r="L5" s="46" t="s">
        <v>91</v>
      </c>
      <c r="M5" s="46" t="s">
        <v>91</v>
      </c>
      <c r="O5" s="46" t="s">
        <v>92</v>
      </c>
      <c r="P5" s="56" t="s">
        <v>160</v>
      </c>
      <c r="Q5" s="46" t="s">
        <v>92</v>
      </c>
      <c r="R5" s="46"/>
      <c r="S5" s="46" t="s">
        <v>92</v>
      </c>
      <c r="T5" s="52" t="s">
        <v>160</v>
      </c>
      <c r="U5" s="46" t="s">
        <v>92</v>
      </c>
      <c r="V5" s="46"/>
      <c r="W5" s="52" t="s">
        <v>87</v>
      </c>
      <c r="X5" s="52"/>
      <c r="Y5" s="46" t="s">
        <v>90</v>
      </c>
    </row>
    <row r="6" spans="1:27" ht="20.100000000000001" customHeight="1" x14ac:dyDescent="0.35">
      <c r="A6" s="53" t="s">
        <v>155</v>
      </c>
      <c r="B6" s="57" t="s">
        <v>93</v>
      </c>
      <c r="C6" s="58" t="s">
        <v>94</v>
      </c>
      <c r="D6" s="58" t="s">
        <v>94</v>
      </c>
      <c r="E6" s="59" t="s">
        <v>95</v>
      </c>
      <c r="F6" s="60">
        <v>41820</v>
      </c>
      <c r="G6" s="59" t="s">
        <v>96</v>
      </c>
      <c r="H6" s="59" t="s">
        <v>97</v>
      </c>
      <c r="I6" s="59" t="s">
        <v>97</v>
      </c>
      <c r="J6" s="59" t="s">
        <v>98</v>
      </c>
      <c r="K6" s="59" t="s">
        <v>56</v>
      </c>
      <c r="L6" s="59" t="s">
        <v>99</v>
      </c>
      <c r="M6" s="61" t="s">
        <v>100</v>
      </c>
      <c r="O6" s="61" t="s">
        <v>101</v>
      </c>
      <c r="P6" s="62" t="s">
        <v>102</v>
      </c>
      <c r="Q6" s="61" t="s">
        <v>103</v>
      </c>
      <c r="R6" s="61"/>
      <c r="S6" s="61" t="s">
        <v>101</v>
      </c>
      <c r="T6" s="61" t="s">
        <v>102</v>
      </c>
      <c r="U6" s="61" t="s">
        <v>103</v>
      </c>
      <c r="V6" s="61"/>
      <c r="W6" s="60">
        <v>42185</v>
      </c>
      <c r="X6" s="60"/>
      <c r="Y6" s="61" t="s">
        <v>56</v>
      </c>
    </row>
    <row r="7" spans="1:27" ht="20.100000000000001" customHeight="1" x14ac:dyDescent="0.25">
      <c r="A7" s="46">
        <v>101</v>
      </c>
      <c r="B7" s="63" t="s">
        <v>104</v>
      </c>
      <c r="C7" s="48">
        <f>'MFPRSI Supplemental Info 2014'!D7</f>
        <v>2.6844061590719944E-2</v>
      </c>
      <c r="D7" s="48">
        <v>2.6967266512861493E-2</v>
      </c>
      <c r="E7" s="65">
        <f>'MFPRSI Supplemental Info 2014'!W7</f>
        <v>9730925</v>
      </c>
      <c r="F7" s="65">
        <f>ROUND($E$57*D7,0)</f>
        <v>9775587</v>
      </c>
      <c r="G7" s="65">
        <f t="shared" ref="G7:G55" si="0">F7-E7</f>
        <v>44662</v>
      </c>
      <c r="H7" s="65">
        <f>ROUND(D7*79748943,0)</f>
        <v>2150611</v>
      </c>
      <c r="I7" s="65">
        <f>H7</f>
        <v>2150611</v>
      </c>
      <c r="J7" s="65">
        <f>H7-I7</f>
        <v>0</v>
      </c>
      <c r="K7" s="51">
        <f>ROUND((G7+J7)/5.6,0)</f>
        <v>7975</v>
      </c>
      <c r="L7" s="66">
        <f>IF(K7&lt;0,0,G7+J7-K7)</f>
        <v>36687</v>
      </c>
      <c r="M7" s="51">
        <f>IF(G7&lt;0,(G7+J7-K7),0)</f>
        <v>0</v>
      </c>
      <c r="O7" s="51">
        <v>340561.27590557531</v>
      </c>
      <c r="P7" s="65">
        <v>953286.53392202326</v>
      </c>
      <c r="Q7" s="51">
        <v>2142322.4218664062</v>
      </c>
      <c r="S7" s="65">
        <v>-21651.775577777877</v>
      </c>
      <c r="T7" s="51">
        <v>0</v>
      </c>
      <c r="U7" s="65">
        <v>-3446426</v>
      </c>
      <c r="W7" s="65">
        <v>12669610</v>
      </c>
      <c r="X7" s="65"/>
      <c r="Y7" s="65">
        <v>1176153.2202221914</v>
      </c>
      <c r="AA7" s="40"/>
    </row>
    <row r="8" spans="1:27" ht="20.100000000000001" customHeight="1" x14ac:dyDescent="0.25">
      <c r="A8" s="46">
        <v>102</v>
      </c>
      <c r="B8" s="63" t="s">
        <v>105</v>
      </c>
      <c r="C8" s="48">
        <f>'MFPRSI Supplemental Info 2014'!D8</f>
        <v>1.6611833750079456E-2</v>
      </c>
      <c r="D8" s="48">
        <v>1.786951583797167E-2</v>
      </c>
      <c r="E8" s="65">
        <f>'MFPRSI Supplemental Info 2014'!W8</f>
        <v>6021760</v>
      </c>
      <c r="F8" s="65">
        <f t="shared" ref="F8:F55" si="1">ROUND($E$57*D8,0)</f>
        <v>6477668</v>
      </c>
      <c r="G8" s="65">
        <f t="shared" si="0"/>
        <v>455908</v>
      </c>
      <c r="H8" s="65">
        <f t="shared" ref="H8:H55" si="2">ROUND(D8*79748943,0)</f>
        <v>1425075</v>
      </c>
      <c r="I8" s="65">
        <f t="shared" ref="I8:I55" si="3">H8</f>
        <v>1425075</v>
      </c>
      <c r="J8" s="65">
        <f t="shared" ref="J8:J55" si="4">H8-I8</f>
        <v>0</v>
      </c>
      <c r="K8" s="51">
        <f t="shared" ref="K8:K23" si="5">ROUND((G8+J8)/5.6,0)</f>
        <v>81412</v>
      </c>
      <c r="L8" s="51">
        <f t="shared" ref="L8:L55" si="6">IF(K8&lt;0,0,G8+J8-K8)</f>
        <v>374496</v>
      </c>
      <c r="M8" s="51">
        <f t="shared" ref="M8:M55" si="7">IF(G8&lt;0,(G8+J8-K8),0)</f>
        <v>0</v>
      </c>
      <c r="O8" s="51">
        <v>225668.59383735029</v>
      </c>
      <c r="P8" s="65">
        <v>631683.18553607666</v>
      </c>
      <c r="Q8" s="51">
        <v>1419582.6792205884</v>
      </c>
      <c r="S8" s="65">
        <v>-14347.273440664912</v>
      </c>
      <c r="T8" s="51">
        <v>0</v>
      </c>
      <c r="U8" s="65">
        <v>-2283730</v>
      </c>
      <c r="W8" s="65">
        <v>8395357</v>
      </c>
      <c r="X8" s="65"/>
      <c r="Y8" s="65">
        <v>779362.95792597521</v>
      </c>
      <c r="AA8" s="40"/>
    </row>
    <row r="9" spans="1:27" ht="20.100000000000001" customHeight="1" x14ac:dyDescent="0.25">
      <c r="A9" s="46">
        <v>103</v>
      </c>
      <c r="B9" s="63" t="s">
        <v>106</v>
      </c>
      <c r="C9" s="48">
        <f>'MFPRSI Supplemental Info 2014'!D9</f>
        <v>1.874664098100411E-2</v>
      </c>
      <c r="D9" s="48">
        <v>1.8702291765798074E-2</v>
      </c>
      <c r="E9" s="65">
        <f>'MFPRSI Supplemental Info 2014'!W9</f>
        <v>6795625</v>
      </c>
      <c r="F9" s="65">
        <f t="shared" si="1"/>
        <v>6779548</v>
      </c>
      <c r="G9" s="65">
        <f t="shared" si="0"/>
        <v>-16077</v>
      </c>
      <c r="H9" s="65">
        <f t="shared" si="2"/>
        <v>1491488</v>
      </c>
      <c r="I9" s="65">
        <f t="shared" si="3"/>
        <v>1491488</v>
      </c>
      <c r="J9" s="65">
        <f t="shared" si="4"/>
        <v>0</v>
      </c>
      <c r="K9" s="51">
        <f t="shared" si="5"/>
        <v>-2871</v>
      </c>
      <c r="L9" s="51">
        <f t="shared" si="6"/>
        <v>0</v>
      </c>
      <c r="M9" s="51">
        <f t="shared" si="7"/>
        <v>-13206</v>
      </c>
      <c r="O9" s="51">
        <v>236185.46370210825</v>
      </c>
      <c r="P9" s="65">
        <v>661121.61888239696</v>
      </c>
      <c r="Q9" s="51">
        <v>1485739.7197097396</v>
      </c>
      <c r="S9" s="65">
        <v>-15015.901738133382</v>
      </c>
      <c r="T9" s="51">
        <v>0</v>
      </c>
      <c r="U9" s="65">
        <v>-2390159</v>
      </c>
      <c r="W9" s="65">
        <v>8786604</v>
      </c>
      <c r="X9" s="65"/>
      <c r="Y9" s="65">
        <v>815683.73551644431</v>
      </c>
      <c r="AA9" s="40"/>
    </row>
    <row r="10" spans="1:27" ht="20.100000000000001" customHeight="1" x14ac:dyDescent="0.25">
      <c r="A10" s="46">
        <v>104</v>
      </c>
      <c r="B10" s="63" t="s">
        <v>107</v>
      </c>
      <c r="C10" s="48">
        <f>'MFPRSI Supplemental Info 2014'!D10</f>
        <v>5.8176918757784522E-3</v>
      </c>
      <c r="D10" s="48">
        <v>5.9148746335108164E-3</v>
      </c>
      <c r="E10" s="65">
        <f>'MFPRSI Supplemental Info 2014'!W10</f>
        <v>2108903</v>
      </c>
      <c r="F10" s="65">
        <f t="shared" si="1"/>
        <v>2144132</v>
      </c>
      <c r="G10" s="65">
        <f t="shared" si="0"/>
        <v>35229</v>
      </c>
      <c r="H10" s="65">
        <f t="shared" si="2"/>
        <v>471705</v>
      </c>
      <c r="I10" s="65">
        <f t="shared" si="3"/>
        <v>471705</v>
      </c>
      <c r="J10" s="65">
        <f t="shared" si="4"/>
        <v>0</v>
      </c>
      <c r="K10" s="51">
        <f t="shared" si="5"/>
        <v>6291</v>
      </c>
      <c r="L10" s="51">
        <f t="shared" si="6"/>
        <v>28938</v>
      </c>
      <c r="M10" s="51">
        <f t="shared" si="7"/>
        <v>0</v>
      </c>
      <c r="O10" s="51">
        <v>74697.124050346349</v>
      </c>
      <c r="P10" s="65">
        <v>209089.42829906847</v>
      </c>
      <c r="Q10" s="51">
        <v>469887.02187726798</v>
      </c>
      <c r="S10" s="65">
        <v>-4748.9996093741329</v>
      </c>
      <c r="T10" s="51">
        <v>0</v>
      </c>
      <c r="U10" s="65">
        <v>-755922</v>
      </c>
      <c r="W10" s="65">
        <v>2778891</v>
      </c>
      <c r="X10" s="65"/>
      <c r="Y10" s="65">
        <v>257971.96924265189</v>
      </c>
      <c r="AA10" s="40"/>
    </row>
    <row r="11" spans="1:27" ht="20.100000000000001" customHeight="1" x14ac:dyDescent="0.25">
      <c r="A11" s="46">
        <v>105</v>
      </c>
      <c r="B11" s="63" t="s">
        <v>108</v>
      </c>
      <c r="C11" s="48">
        <f>'MFPRSI Supplemental Info 2014'!D11</f>
        <v>1.8017704648857651E-2</v>
      </c>
      <c r="D11" s="48">
        <v>1.7988489201668793E-2</v>
      </c>
      <c r="E11" s="65">
        <f>'MFPRSI Supplemental Info 2014'!W11</f>
        <v>6531386</v>
      </c>
      <c r="F11" s="65">
        <f t="shared" si="1"/>
        <v>6520796</v>
      </c>
      <c r="G11" s="65">
        <f t="shared" si="0"/>
        <v>-10590</v>
      </c>
      <c r="H11" s="65">
        <f t="shared" si="2"/>
        <v>1434563</v>
      </c>
      <c r="I11" s="65">
        <f t="shared" si="3"/>
        <v>1434563</v>
      </c>
      <c r="J11" s="65">
        <f t="shared" si="4"/>
        <v>0</v>
      </c>
      <c r="K11" s="51">
        <f t="shared" si="5"/>
        <v>-1891</v>
      </c>
      <c r="L11" s="51">
        <f t="shared" si="6"/>
        <v>0</v>
      </c>
      <c r="M11" s="51">
        <f t="shared" si="7"/>
        <v>-8699</v>
      </c>
      <c r="O11" s="51">
        <v>227171.07168471187</v>
      </c>
      <c r="P11" s="65">
        <v>635888.86598402949</v>
      </c>
      <c r="Q11" s="51">
        <v>1429034.1119244427</v>
      </c>
      <c r="S11" s="65">
        <v>-14442.796083617059</v>
      </c>
      <c r="T11" s="51">
        <v>0</v>
      </c>
      <c r="U11" s="65">
        <v>-2298935</v>
      </c>
      <c r="W11" s="65">
        <v>8451250</v>
      </c>
      <c r="X11" s="65"/>
      <c r="Y11" s="65">
        <v>784551.8748214381</v>
      </c>
      <c r="AA11" s="40"/>
    </row>
    <row r="12" spans="1:27" ht="20.100000000000001" customHeight="1" x14ac:dyDescent="0.25">
      <c r="A12" s="46">
        <v>106</v>
      </c>
      <c r="B12" s="63" t="s">
        <v>109</v>
      </c>
      <c r="C12" s="48">
        <f>'MFPRSI Supplemental Info 2014'!D12</f>
        <v>2.5757743319130173E-3</v>
      </c>
      <c r="D12" s="48">
        <v>2.6191444317951651E-3</v>
      </c>
      <c r="E12" s="65">
        <f>'MFPRSI Supplemental Info 2014'!W12</f>
        <v>933714</v>
      </c>
      <c r="F12" s="65">
        <f t="shared" si="1"/>
        <v>949435</v>
      </c>
      <c r="G12" s="65">
        <f t="shared" si="0"/>
        <v>15721</v>
      </c>
      <c r="H12" s="65">
        <f t="shared" si="2"/>
        <v>208874</v>
      </c>
      <c r="I12" s="65">
        <f t="shared" si="3"/>
        <v>208874</v>
      </c>
      <c r="J12" s="65">
        <f t="shared" si="4"/>
        <v>0</v>
      </c>
      <c r="K12" s="51">
        <f t="shared" si="5"/>
        <v>2807</v>
      </c>
      <c r="L12" s="51">
        <f t="shared" si="6"/>
        <v>12914</v>
      </c>
      <c r="M12" s="51">
        <f t="shared" si="7"/>
        <v>0</v>
      </c>
      <c r="O12" s="51">
        <v>33076.365713511717</v>
      </c>
      <c r="P12" s="65">
        <v>92586.140165017612</v>
      </c>
      <c r="Q12" s="51">
        <v>208068.98762487673</v>
      </c>
      <c r="S12" s="65">
        <v>-2102.887491988452</v>
      </c>
      <c r="T12" s="51">
        <v>0</v>
      </c>
      <c r="U12" s="65">
        <v>-334727</v>
      </c>
      <c r="W12" s="65">
        <v>1230510</v>
      </c>
      <c r="X12" s="65"/>
      <c r="Y12" s="65">
        <v>114231.64287762409</v>
      </c>
      <c r="AA12" s="40"/>
    </row>
    <row r="13" spans="1:27" ht="20.100000000000001" customHeight="1" x14ac:dyDescent="0.25">
      <c r="A13" s="46">
        <v>107</v>
      </c>
      <c r="B13" s="63" t="s">
        <v>110</v>
      </c>
      <c r="C13" s="48">
        <f>'MFPRSI Supplemental Info 2014'!D13</f>
        <v>2.7818787362549609E-3</v>
      </c>
      <c r="D13" s="48">
        <v>2.8797372273636278E-3</v>
      </c>
      <c r="E13" s="65">
        <f>'MFPRSI Supplemental Info 2014'!W13</f>
        <v>1008426</v>
      </c>
      <c r="F13" s="65">
        <f t="shared" si="1"/>
        <v>1043900</v>
      </c>
      <c r="G13" s="65">
        <f t="shared" si="0"/>
        <v>35474</v>
      </c>
      <c r="H13" s="65">
        <f t="shared" si="2"/>
        <v>229656</v>
      </c>
      <c r="I13" s="65">
        <f t="shared" si="3"/>
        <v>229656</v>
      </c>
      <c r="J13" s="65">
        <f t="shared" si="4"/>
        <v>0</v>
      </c>
      <c r="K13" s="51">
        <f t="shared" si="5"/>
        <v>6335</v>
      </c>
      <c r="L13" s="51">
        <f t="shared" si="6"/>
        <v>29139</v>
      </c>
      <c r="M13" s="51">
        <f t="shared" si="7"/>
        <v>0</v>
      </c>
      <c r="O13" s="51">
        <v>36367.311605572002</v>
      </c>
      <c r="P13" s="65">
        <v>101798.03424905581</v>
      </c>
      <c r="Q13" s="51">
        <v>228770.8926050092</v>
      </c>
      <c r="S13" s="65">
        <v>-2312.1151022152103</v>
      </c>
      <c r="T13" s="51">
        <v>0</v>
      </c>
      <c r="U13" s="65">
        <v>-368032</v>
      </c>
      <c r="W13" s="65">
        <v>1352943</v>
      </c>
      <c r="X13" s="65"/>
      <c r="Y13" s="65">
        <v>125597.16468638336</v>
      </c>
      <c r="AA13" s="40"/>
    </row>
    <row r="14" spans="1:27" ht="20.100000000000001" customHeight="1" x14ac:dyDescent="0.25">
      <c r="A14" s="46">
        <v>108</v>
      </c>
      <c r="B14" s="63" t="s">
        <v>111</v>
      </c>
      <c r="C14" s="48">
        <f>'MFPRSI Supplemental Info 2014'!D14</f>
        <v>1.7827707848698297E-2</v>
      </c>
      <c r="D14" s="48">
        <v>1.7270774359981172E-2</v>
      </c>
      <c r="E14" s="65">
        <f>'MFPRSI Supplemental Info 2014'!W14</f>
        <v>6462513</v>
      </c>
      <c r="F14" s="65">
        <f t="shared" si="1"/>
        <v>6260626</v>
      </c>
      <c r="G14" s="65">
        <f t="shared" si="0"/>
        <v>-201887</v>
      </c>
      <c r="H14" s="65">
        <f t="shared" si="2"/>
        <v>1377326</v>
      </c>
      <c r="I14" s="65">
        <f t="shared" si="3"/>
        <v>1377326</v>
      </c>
      <c r="J14" s="65">
        <f t="shared" si="4"/>
        <v>0</v>
      </c>
      <c r="K14" s="51">
        <f t="shared" si="5"/>
        <v>-36051</v>
      </c>
      <c r="L14" s="51">
        <f t="shared" si="6"/>
        <v>0</v>
      </c>
      <c r="M14" s="51">
        <f t="shared" si="7"/>
        <v>-165836</v>
      </c>
      <c r="O14" s="51">
        <v>218107.272722925</v>
      </c>
      <c r="P14" s="65">
        <v>610517.81499335985</v>
      </c>
      <c r="Q14" s="51">
        <v>1372017.7066050393</v>
      </c>
      <c r="S14" s="65">
        <v>-13866.549296659643</v>
      </c>
      <c r="T14" s="51">
        <v>0</v>
      </c>
      <c r="U14" s="65">
        <v>-2207210</v>
      </c>
      <c r="W14" s="65">
        <v>8114055</v>
      </c>
      <c r="X14" s="65"/>
      <c r="Y14" s="65">
        <v>753249.38363830105</v>
      </c>
      <c r="AA14" s="40"/>
    </row>
    <row r="15" spans="1:27" ht="20.100000000000001" customHeight="1" x14ac:dyDescent="0.25">
      <c r="A15" s="46">
        <v>109</v>
      </c>
      <c r="B15" s="63" t="s">
        <v>112</v>
      </c>
      <c r="C15" s="48">
        <f>'MFPRSI Supplemental Info 2014'!D15</f>
        <v>9.3012964115779778E-2</v>
      </c>
      <c r="D15" s="48">
        <v>9.3574418911107071E-2</v>
      </c>
      <c r="E15" s="65">
        <f>'MFPRSI Supplemental Info 2014'!W15</f>
        <v>33717037</v>
      </c>
      <c r="F15" s="65">
        <f t="shared" si="1"/>
        <v>33920563</v>
      </c>
      <c r="G15" s="65">
        <f t="shared" si="0"/>
        <v>203526</v>
      </c>
      <c r="H15" s="65">
        <f t="shared" si="2"/>
        <v>7462461</v>
      </c>
      <c r="I15" s="65">
        <f t="shared" si="3"/>
        <v>7462461</v>
      </c>
      <c r="J15" s="65">
        <f t="shared" si="4"/>
        <v>0</v>
      </c>
      <c r="K15" s="51">
        <f t="shared" si="5"/>
        <v>36344</v>
      </c>
      <c r="L15" s="51">
        <f t="shared" si="6"/>
        <v>167182</v>
      </c>
      <c r="M15" s="51">
        <f t="shared" si="7"/>
        <v>0</v>
      </c>
      <c r="O15" s="51">
        <v>1181722.4219329276</v>
      </c>
      <c r="P15" s="65">
        <v>3307833.7185191908</v>
      </c>
      <c r="Q15" s="51">
        <v>7433700.2473267391</v>
      </c>
      <c r="S15" s="65">
        <v>-75130.058773957673</v>
      </c>
      <c r="T15" s="51">
        <v>0</v>
      </c>
      <c r="U15" s="65">
        <v>-11958840</v>
      </c>
      <c r="W15" s="65">
        <v>43962603</v>
      </c>
      <c r="X15" s="65"/>
      <c r="Y15" s="65">
        <v>4081164.6252774284</v>
      </c>
      <c r="AA15" s="40"/>
    </row>
    <row r="16" spans="1:27" ht="20.100000000000001" customHeight="1" x14ac:dyDescent="0.25">
      <c r="A16" s="46">
        <v>110</v>
      </c>
      <c r="B16" s="63" t="s">
        <v>113</v>
      </c>
      <c r="C16" s="48">
        <f>'MFPRSI Supplemental Info 2014'!D16</f>
        <v>2.4090498878135062E-3</v>
      </c>
      <c r="D16" s="48">
        <v>2.2354904440551643E-3</v>
      </c>
      <c r="E16" s="65">
        <f>'MFPRSI Supplemental Info 2014'!W16</f>
        <v>873276</v>
      </c>
      <c r="F16" s="65">
        <f t="shared" si="1"/>
        <v>810361</v>
      </c>
      <c r="G16" s="65">
        <f t="shared" si="0"/>
        <v>-62915</v>
      </c>
      <c r="H16" s="65">
        <f t="shared" si="2"/>
        <v>178278</v>
      </c>
      <c r="I16" s="65">
        <f t="shared" si="3"/>
        <v>178278</v>
      </c>
      <c r="J16" s="65">
        <f t="shared" si="4"/>
        <v>0</v>
      </c>
      <c r="K16" s="51">
        <f t="shared" si="5"/>
        <v>-11235</v>
      </c>
      <c r="L16" s="51">
        <f t="shared" si="6"/>
        <v>0</v>
      </c>
      <c r="M16" s="51">
        <f t="shared" si="7"/>
        <v>-51680</v>
      </c>
      <c r="O16" s="51">
        <v>28231.318051425456</v>
      </c>
      <c r="P16" s="65">
        <v>79024.061857095701</v>
      </c>
      <c r="Q16" s="51">
        <v>177590.90636358652</v>
      </c>
      <c r="S16" s="65">
        <v>-1794.8551581178949</v>
      </c>
      <c r="T16" s="51">
        <v>0</v>
      </c>
      <c r="U16" s="65">
        <v>-285696</v>
      </c>
      <c r="W16" s="65">
        <v>1050265</v>
      </c>
      <c r="X16" s="65"/>
      <c r="Y16" s="65">
        <v>97498.917189009007</v>
      </c>
      <c r="AA16" s="40"/>
    </row>
    <row r="17" spans="1:27" ht="20.100000000000001" customHeight="1" x14ac:dyDescent="0.25">
      <c r="A17" s="46">
        <v>111</v>
      </c>
      <c r="B17" s="63" t="s">
        <v>114</v>
      </c>
      <c r="C17" s="48">
        <f>'MFPRSI Supplemental Info 2014'!D17</f>
        <v>2.9419456835232051E-3</v>
      </c>
      <c r="D17" s="48">
        <v>3.2524067434975281E-3</v>
      </c>
      <c r="E17" s="65">
        <f>'MFPRSI Supplemental Info 2014'!W17</f>
        <v>1066450</v>
      </c>
      <c r="F17" s="65">
        <f t="shared" si="1"/>
        <v>1178992</v>
      </c>
      <c r="G17" s="65">
        <f t="shared" si="0"/>
        <v>112542</v>
      </c>
      <c r="H17" s="65">
        <f t="shared" si="2"/>
        <v>259376</v>
      </c>
      <c r="I17" s="65">
        <f t="shared" si="3"/>
        <v>259376</v>
      </c>
      <c r="J17" s="65">
        <f t="shared" si="4"/>
        <v>0</v>
      </c>
      <c r="K17" s="51">
        <f t="shared" si="5"/>
        <v>20097</v>
      </c>
      <c r="L17" s="51">
        <f t="shared" si="6"/>
        <v>92445</v>
      </c>
      <c r="M17" s="51">
        <f t="shared" si="7"/>
        <v>0</v>
      </c>
      <c r="O17" s="51">
        <v>41073.639769946538</v>
      </c>
      <c r="P17" s="65">
        <v>114971.8140670529</v>
      </c>
      <c r="Q17" s="51">
        <v>258376.35002053881</v>
      </c>
      <c r="S17" s="65">
        <v>-2611.3281026934737</v>
      </c>
      <c r="T17" s="51">
        <v>0</v>
      </c>
      <c r="U17" s="65">
        <v>-415659</v>
      </c>
      <c r="W17" s="65">
        <v>1528029</v>
      </c>
      <c r="X17" s="65"/>
      <c r="Y17" s="65">
        <v>141850.81246601601</v>
      </c>
      <c r="AA17" s="40"/>
    </row>
    <row r="18" spans="1:27" ht="20.100000000000001" customHeight="1" x14ac:dyDescent="0.25">
      <c r="A18" s="46">
        <v>112</v>
      </c>
      <c r="B18" s="63" t="s">
        <v>115</v>
      </c>
      <c r="C18" s="48">
        <f>'MFPRSI Supplemental Info 2014'!D18</f>
        <v>1.9699636018870977E-2</v>
      </c>
      <c r="D18" s="48">
        <v>1.9325748304902298E-2</v>
      </c>
      <c r="E18" s="65">
        <f>'MFPRSI Supplemental Info 2014'!W18</f>
        <v>7141084</v>
      </c>
      <c r="F18" s="65">
        <f t="shared" si="1"/>
        <v>7005550</v>
      </c>
      <c r="G18" s="65">
        <f t="shared" si="0"/>
        <v>-135534</v>
      </c>
      <c r="H18" s="65">
        <f t="shared" si="2"/>
        <v>1541208</v>
      </c>
      <c r="I18" s="65">
        <f t="shared" si="3"/>
        <v>1541208</v>
      </c>
      <c r="J18" s="65">
        <f t="shared" si="4"/>
        <v>0</v>
      </c>
      <c r="K18" s="51">
        <f t="shared" si="5"/>
        <v>-24203</v>
      </c>
      <c r="L18" s="51">
        <f t="shared" si="6"/>
        <v>0</v>
      </c>
      <c r="M18" s="51">
        <f t="shared" si="7"/>
        <v>-111331</v>
      </c>
      <c r="O18" s="51">
        <v>244058.9036863849</v>
      </c>
      <c r="P18" s="65">
        <v>683160.66102744464</v>
      </c>
      <c r="Q18" s="51">
        <v>1535268.09597825</v>
      </c>
      <c r="S18" s="65">
        <v>-15516.469382271311</v>
      </c>
      <c r="T18" s="51">
        <v>0</v>
      </c>
      <c r="U18" s="65">
        <v>-2469837</v>
      </c>
      <c r="W18" s="65">
        <v>9079514</v>
      </c>
      <c r="X18" s="65"/>
      <c r="Y18" s="65">
        <v>842875.23509932915</v>
      </c>
      <c r="AA18" s="40"/>
    </row>
    <row r="19" spans="1:27" ht="20.100000000000001" customHeight="1" x14ac:dyDescent="0.25">
      <c r="A19" s="46">
        <v>113</v>
      </c>
      <c r="B19" s="63" t="s">
        <v>116</v>
      </c>
      <c r="C19" s="48">
        <f>'MFPRSI Supplemental Info 2014'!D19</f>
        <v>6.0032407171004293E-3</v>
      </c>
      <c r="D19" s="48">
        <v>5.9059842335465185E-3</v>
      </c>
      <c r="E19" s="65">
        <f>'MFPRSI Supplemental Info 2014'!W19</f>
        <v>2176164</v>
      </c>
      <c r="F19" s="65">
        <f t="shared" si="1"/>
        <v>2140909</v>
      </c>
      <c r="G19" s="65">
        <f t="shared" si="0"/>
        <v>-35255</v>
      </c>
      <c r="H19" s="65">
        <f t="shared" si="2"/>
        <v>470996</v>
      </c>
      <c r="I19" s="65">
        <f t="shared" si="3"/>
        <v>470996</v>
      </c>
      <c r="J19" s="65">
        <f t="shared" si="4"/>
        <v>0</v>
      </c>
      <c r="K19" s="51">
        <f t="shared" si="5"/>
        <v>-6296</v>
      </c>
      <c r="L19" s="51">
        <f t="shared" si="6"/>
        <v>0</v>
      </c>
      <c r="M19" s="51">
        <f t="shared" si="7"/>
        <v>-28959</v>
      </c>
      <c r="O19" s="51">
        <v>74584.849936330822</v>
      </c>
      <c r="P19" s="65">
        <v>208775.15474957455</v>
      </c>
      <c r="Q19" s="51">
        <v>469180.75440392981</v>
      </c>
      <c r="S19" s="65">
        <v>-4741.8615872563978</v>
      </c>
      <c r="T19" s="51">
        <v>0</v>
      </c>
      <c r="U19" s="65">
        <v>-754787</v>
      </c>
      <c r="W19" s="65">
        <v>2774719</v>
      </c>
      <c r="X19" s="65"/>
      <c r="Y19" s="65">
        <v>257584.2223962266</v>
      </c>
      <c r="AA19" s="40"/>
    </row>
    <row r="20" spans="1:27" ht="20.100000000000001" customHeight="1" x14ac:dyDescent="0.25">
      <c r="A20" s="46">
        <v>114</v>
      </c>
      <c r="B20" s="63" t="s">
        <v>117</v>
      </c>
      <c r="C20" s="48">
        <f>'MFPRSI Supplemental Info 2014'!D20</f>
        <v>5.8249479696675419E-2</v>
      </c>
      <c r="D20" s="48">
        <v>5.8799312236652468E-2</v>
      </c>
      <c r="E20" s="65">
        <f>'MFPRSI Supplemental Info 2014'!W20</f>
        <v>21115335</v>
      </c>
      <c r="F20" s="65">
        <f t="shared" si="1"/>
        <v>21314648</v>
      </c>
      <c r="G20" s="65">
        <f t="shared" si="0"/>
        <v>199313</v>
      </c>
      <c r="H20" s="65">
        <f t="shared" si="2"/>
        <v>4689183</v>
      </c>
      <c r="I20" s="65">
        <f t="shared" si="3"/>
        <v>4689183</v>
      </c>
      <c r="J20" s="65">
        <f t="shared" si="4"/>
        <v>0</v>
      </c>
      <c r="K20" s="51">
        <f t="shared" si="5"/>
        <v>35592</v>
      </c>
      <c r="L20" s="51">
        <f t="shared" si="6"/>
        <v>163721</v>
      </c>
      <c r="M20" s="51">
        <f t="shared" si="7"/>
        <v>0</v>
      </c>
      <c r="O20" s="51">
        <v>742558.34524920292</v>
      </c>
      <c r="P20" s="65">
        <v>2078541.8697272891</v>
      </c>
      <c r="Q20" s="51">
        <v>4671110.6197888795</v>
      </c>
      <c r="S20" s="65">
        <v>-47209.438600998139</v>
      </c>
      <c r="T20" s="51">
        <v>0</v>
      </c>
      <c r="U20" s="65">
        <v>-7514570</v>
      </c>
      <c r="W20" s="65">
        <v>27624758</v>
      </c>
      <c r="X20" s="65"/>
      <c r="Y20" s="65">
        <v>2564479.436616458</v>
      </c>
      <c r="AA20" s="40"/>
    </row>
    <row r="21" spans="1:27" ht="20.100000000000001" customHeight="1" x14ac:dyDescent="0.25">
      <c r="A21" s="46">
        <v>115</v>
      </c>
      <c r="B21" s="63" t="s">
        <v>118</v>
      </c>
      <c r="C21" s="48">
        <f>'MFPRSI Supplemental Info 2014'!D21</f>
        <v>2.8823874424836185E-3</v>
      </c>
      <c r="D21" s="48">
        <v>2.9174681349695129E-3</v>
      </c>
      <c r="E21" s="65">
        <f>'MFPRSI Supplemental Info 2014'!W21</f>
        <v>1044861</v>
      </c>
      <c r="F21" s="65">
        <f t="shared" si="1"/>
        <v>1057577</v>
      </c>
      <c r="G21" s="65">
        <f t="shared" si="0"/>
        <v>12716</v>
      </c>
      <c r="H21" s="65">
        <f t="shared" si="2"/>
        <v>232665</v>
      </c>
      <c r="I21" s="65">
        <f t="shared" si="3"/>
        <v>232665</v>
      </c>
      <c r="J21" s="65">
        <f t="shared" si="4"/>
        <v>0</v>
      </c>
      <c r="K21" s="51">
        <f t="shared" si="5"/>
        <v>2271</v>
      </c>
      <c r="L21" s="51">
        <f t="shared" si="6"/>
        <v>10445</v>
      </c>
      <c r="M21" s="51">
        <f t="shared" si="7"/>
        <v>0</v>
      </c>
      <c r="O21" s="51">
        <v>36843.803578876272</v>
      </c>
      <c r="P21" s="65">
        <v>103131.81296616056</v>
      </c>
      <c r="Q21" s="51">
        <v>231768.29574644016</v>
      </c>
      <c r="S21" s="65">
        <v>-2342.408908353807</v>
      </c>
      <c r="T21" s="51">
        <v>0</v>
      </c>
      <c r="U21" s="65">
        <v>-372854</v>
      </c>
      <c r="W21" s="65">
        <v>1370669</v>
      </c>
      <c r="X21" s="65"/>
      <c r="Y21" s="65">
        <v>127242.76449018264</v>
      </c>
      <c r="AA21" s="40"/>
    </row>
    <row r="22" spans="1:27" ht="20.100000000000001" customHeight="1" x14ac:dyDescent="0.25">
      <c r="A22" s="46">
        <v>116</v>
      </c>
      <c r="B22" s="63" t="s">
        <v>119</v>
      </c>
      <c r="C22" s="48">
        <f>'MFPRSI Supplemental Info 2014'!D22</f>
        <v>8.2312779956384044E-2</v>
      </c>
      <c r="D22" s="48">
        <v>8.0960533859364137E-2</v>
      </c>
      <c r="E22" s="65">
        <f>'MFPRSI Supplemental Info 2014'!W22</f>
        <v>29838239</v>
      </c>
      <c r="F22" s="65">
        <f t="shared" si="1"/>
        <v>29348052</v>
      </c>
      <c r="G22" s="65">
        <f t="shared" si="0"/>
        <v>-490187</v>
      </c>
      <c r="H22" s="65">
        <f t="shared" si="2"/>
        <v>6456517</v>
      </c>
      <c r="I22" s="65">
        <f t="shared" si="3"/>
        <v>6456517</v>
      </c>
      <c r="J22" s="65">
        <f t="shared" si="4"/>
        <v>0</v>
      </c>
      <c r="K22" s="51">
        <f t="shared" si="5"/>
        <v>-87533</v>
      </c>
      <c r="L22" s="51">
        <f t="shared" si="6"/>
        <v>0</v>
      </c>
      <c r="M22" s="51">
        <f t="shared" si="7"/>
        <v>-402654</v>
      </c>
      <c r="O22" s="51">
        <v>1022425.5653049471</v>
      </c>
      <c r="P22" s="65">
        <v>2861935.8462030655</v>
      </c>
      <c r="Q22" s="51">
        <v>6431633.2131945882</v>
      </c>
      <c r="S22" s="65">
        <v>-65002.483990878733</v>
      </c>
      <c r="T22" s="51">
        <v>0</v>
      </c>
      <c r="U22" s="65">
        <v>-10346781</v>
      </c>
      <c r="W22" s="65">
        <v>38036417</v>
      </c>
      <c r="X22" s="65"/>
      <c r="Y22" s="65">
        <v>3531021.3055588966</v>
      </c>
      <c r="AA22" s="40"/>
    </row>
    <row r="23" spans="1:27" ht="20.100000000000001" customHeight="1" x14ac:dyDescent="0.25">
      <c r="A23" s="46">
        <v>117</v>
      </c>
      <c r="B23" s="63" t="s">
        <v>120</v>
      </c>
      <c r="C23" s="48">
        <f>'MFPRSI Supplemental Info 2014'!D23</f>
        <v>2.8941409570900122E-3</v>
      </c>
      <c r="D23" s="48">
        <v>2.9432239622285651E-3</v>
      </c>
      <c r="E23" s="65">
        <f>'MFPRSI Supplemental Info 2014'!W23</f>
        <v>1049121</v>
      </c>
      <c r="F23" s="65">
        <f t="shared" si="1"/>
        <v>1066914</v>
      </c>
      <c r="G23" s="65">
        <f t="shared" si="0"/>
        <v>17793</v>
      </c>
      <c r="H23" s="65">
        <f t="shared" si="2"/>
        <v>234719</v>
      </c>
      <c r="I23" s="65">
        <f t="shared" si="3"/>
        <v>234719</v>
      </c>
      <c r="J23" s="65">
        <f t="shared" si="4"/>
        <v>0</v>
      </c>
      <c r="K23" s="51">
        <f t="shared" si="5"/>
        <v>3177</v>
      </c>
      <c r="L23" s="51">
        <f t="shared" si="6"/>
        <v>14616</v>
      </c>
      <c r="M23" s="51">
        <f t="shared" si="7"/>
        <v>0</v>
      </c>
      <c r="O23" s="51">
        <v>37169.065962780223</v>
      </c>
      <c r="P23" s="65">
        <v>104042.27540714866</v>
      </c>
      <c r="Q23" s="51">
        <v>233814.37951264132</v>
      </c>
      <c r="S23" s="65">
        <v>-2363.0880302576547</v>
      </c>
      <c r="T23" s="51">
        <v>0</v>
      </c>
      <c r="U23" s="65">
        <v>-376144</v>
      </c>
      <c r="W23" s="65">
        <v>1382767</v>
      </c>
      <c r="X23" s="65"/>
      <c r="Y23" s="65">
        <v>128366.08187037663</v>
      </c>
      <c r="AA23" s="40"/>
    </row>
    <row r="24" spans="1:27" ht="20.100000000000001" customHeight="1" x14ac:dyDescent="0.25">
      <c r="A24" s="46">
        <v>118</v>
      </c>
      <c r="B24" s="63" t="s">
        <v>121</v>
      </c>
      <c r="C24" s="48">
        <f>'MFPRSI Supplemental Info 2014'!D24</f>
        <v>0.1820457921297596</v>
      </c>
      <c r="D24" s="48">
        <v>0.1830480436587103</v>
      </c>
      <c r="E24" s="65">
        <f>'MFPRSI Supplemental Info 2014'!W24</f>
        <v>65991282</v>
      </c>
      <c r="F24" s="65">
        <f t="shared" si="1"/>
        <v>66354596</v>
      </c>
      <c r="G24" s="65">
        <f t="shared" si="0"/>
        <v>363314</v>
      </c>
      <c r="H24" s="65">
        <f t="shared" si="2"/>
        <v>14597888</v>
      </c>
      <c r="I24" s="65">
        <f t="shared" si="3"/>
        <v>14597888</v>
      </c>
      <c r="J24" s="65">
        <f t="shared" si="4"/>
        <v>0</v>
      </c>
      <c r="K24" s="51">
        <f>ROUND((G24+J24)/5.6,0)+1</f>
        <v>64879</v>
      </c>
      <c r="L24" s="51">
        <f t="shared" si="6"/>
        <v>298435</v>
      </c>
      <c r="M24" s="51">
        <f t="shared" si="7"/>
        <v>0</v>
      </c>
      <c r="O24" s="51">
        <v>2311657.1815203619</v>
      </c>
      <c r="P24" s="65">
        <v>6470705.3270451492</v>
      </c>
      <c r="Q24" s="51">
        <v>14541626.90244519</v>
      </c>
      <c r="S24" s="65">
        <v>-146967.62682118558</v>
      </c>
      <c r="T24" s="51">
        <v>0</v>
      </c>
      <c r="U24" s="65">
        <v>-23393598</v>
      </c>
      <c r="W24" s="65">
        <v>85998596</v>
      </c>
      <c r="X24" s="65"/>
      <c r="Y24" s="65">
        <v>7983476.779223619</v>
      </c>
      <c r="AA24" s="40"/>
    </row>
    <row r="25" spans="1:27" ht="20.100000000000001" customHeight="1" x14ac:dyDescent="0.25">
      <c r="A25" s="46">
        <v>119</v>
      </c>
      <c r="B25" s="63" t="s">
        <v>122</v>
      </c>
      <c r="C25" s="48">
        <f>'MFPRSI Supplemental Info 2014'!D25</f>
        <v>2.0695428219122793E-3</v>
      </c>
      <c r="D25" s="48">
        <v>2.2493840451277202E-3</v>
      </c>
      <c r="E25" s="65">
        <f>'MFPRSI Supplemental Info 2014'!W25</f>
        <v>750206</v>
      </c>
      <c r="F25" s="65">
        <f t="shared" si="1"/>
        <v>815398</v>
      </c>
      <c r="G25" s="65">
        <f t="shared" si="0"/>
        <v>65192</v>
      </c>
      <c r="H25" s="65">
        <f t="shared" si="2"/>
        <v>179386</v>
      </c>
      <c r="I25" s="65">
        <f t="shared" si="3"/>
        <v>179386</v>
      </c>
      <c r="J25" s="65">
        <f t="shared" si="4"/>
        <v>0</v>
      </c>
      <c r="K25" s="51">
        <f t="shared" ref="K25:K55" si="8">ROUND((G25+J25)/5.6,0)</f>
        <v>11641</v>
      </c>
      <c r="L25" s="51">
        <f t="shared" si="6"/>
        <v>53551</v>
      </c>
      <c r="M25" s="51">
        <f t="shared" si="7"/>
        <v>0</v>
      </c>
      <c r="O25" s="51">
        <v>28406.776046248033</v>
      </c>
      <c r="P25" s="65">
        <v>79515.197390014306</v>
      </c>
      <c r="Q25" s="51">
        <v>178694.63606804167</v>
      </c>
      <c r="S25" s="65">
        <v>-1806.0102053766404</v>
      </c>
      <c r="T25" s="51">
        <v>0</v>
      </c>
      <c r="U25" s="65">
        <v>-287471</v>
      </c>
      <c r="W25" s="65">
        <v>1056791</v>
      </c>
      <c r="X25" s="65"/>
      <c r="Y25" s="65">
        <v>98104.874178909173</v>
      </c>
      <c r="AA25" s="40"/>
    </row>
    <row r="26" spans="1:27" ht="20.100000000000001" customHeight="1" x14ac:dyDescent="0.25">
      <c r="A26" s="46">
        <v>120</v>
      </c>
      <c r="B26" s="63" t="s">
        <v>123</v>
      </c>
      <c r="C26" s="48">
        <f>'MFPRSI Supplemental Info 2014'!D26</f>
        <v>5.0788001669305957E-2</v>
      </c>
      <c r="D26" s="48">
        <v>4.9854905286957844E-2</v>
      </c>
      <c r="E26" s="65">
        <f>'MFPRSI Supplemental Info 2014'!W26</f>
        <v>18410561</v>
      </c>
      <c r="F26" s="65">
        <f t="shared" si="1"/>
        <v>18072316</v>
      </c>
      <c r="G26" s="65">
        <f t="shared" si="0"/>
        <v>-338245</v>
      </c>
      <c r="H26" s="65">
        <f t="shared" si="2"/>
        <v>3975876</v>
      </c>
      <c r="I26" s="65">
        <f t="shared" si="3"/>
        <v>3975876</v>
      </c>
      <c r="J26" s="65">
        <f t="shared" si="4"/>
        <v>0</v>
      </c>
      <c r="K26" s="51">
        <f t="shared" si="8"/>
        <v>-60401</v>
      </c>
      <c r="L26" s="51">
        <f t="shared" si="6"/>
        <v>0</v>
      </c>
      <c r="M26" s="51">
        <f t="shared" si="7"/>
        <v>-277844</v>
      </c>
      <c r="O26" s="51">
        <v>629602.1937032569</v>
      </c>
      <c r="P26" s="65">
        <v>1762359.1859912174</v>
      </c>
      <c r="Q26" s="51">
        <v>3960552.7458757162</v>
      </c>
      <c r="S26" s="65">
        <v>-40028.054760750871</v>
      </c>
      <c r="T26" s="51">
        <v>0</v>
      </c>
      <c r="U26" s="65">
        <v>-6371473</v>
      </c>
      <c r="W26" s="65">
        <v>23422551</v>
      </c>
      <c r="X26" s="65"/>
      <c r="Y26" s="65">
        <v>2174377.1238053399</v>
      </c>
      <c r="AA26" s="40"/>
    </row>
    <row r="27" spans="1:27" ht="20.100000000000001" customHeight="1" x14ac:dyDescent="0.25">
      <c r="A27" s="46">
        <v>121</v>
      </c>
      <c r="B27" s="63" t="s">
        <v>124</v>
      </c>
      <c r="C27" s="48">
        <f>'MFPRSI Supplemental Info 2014'!D27</f>
        <v>2.503164653213436E-3</v>
      </c>
      <c r="D27" s="48">
        <v>2.3507396204611765E-3</v>
      </c>
      <c r="E27" s="65">
        <f>'MFPRSI Supplemental Info 2014'!W27</f>
        <v>907392</v>
      </c>
      <c r="F27" s="65">
        <f t="shared" si="1"/>
        <v>852139</v>
      </c>
      <c r="G27" s="65">
        <f t="shared" si="0"/>
        <v>-55253</v>
      </c>
      <c r="H27" s="65">
        <f t="shared" si="2"/>
        <v>187469</v>
      </c>
      <c r="I27" s="65">
        <f t="shared" si="3"/>
        <v>187469</v>
      </c>
      <c r="J27" s="65">
        <f t="shared" si="4"/>
        <v>0</v>
      </c>
      <c r="K27" s="51">
        <f t="shared" si="8"/>
        <v>-9867</v>
      </c>
      <c r="L27" s="51">
        <f t="shared" si="6"/>
        <v>0</v>
      </c>
      <c r="M27" s="51">
        <f t="shared" si="7"/>
        <v>-45386</v>
      </c>
      <c r="O27" s="51">
        <v>29686.764288261475</v>
      </c>
      <c r="P27" s="65">
        <v>83098.093159491778</v>
      </c>
      <c r="Q27" s="51">
        <v>186746.4837224739</v>
      </c>
      <c r="S27" s="65">
        <v>-1887.3876846116943</v>
      </c>
      <c r="T27" s="51">
        <v>0</v>
      </c>
      <c r="U27" s="65">
        <v>-300425</v>
      </c>
      <c r="W27" s="65">
        <v>1104411</v>
      </c>
      <c r="X27" s="65"/>
      <c r="Y27" s="65">
        <v>102525.40698519352</v>
      </c>
      <c r="AA27" s="40"/>
    </row>
    <row r="28" spans="1:27" ht="20.100000000000001" customHeight="1" x14ac:dyDescent="0.25">
      <c r="A28" s="46">
        <v>122</v>
      </c>
      <c r="B28" s="63" t="s">
        <v>125</v>
      </c>
      <c r="C28" s="48">
        <f>'MFPRSI Supplemental Info 2014'!D28</f>
        <v>1.0326647681139247E-3</v>
      </c>
      <c r="D28" s="48">
        <v>1.0593494637289424E-3</v>
      </c>
      <c r="E28" s="65">
        <f>'MFPRSI Supplemental Info 2014'!W28</f>
        <v>374339</v>
      </c>
      <c r="F28" s="65">
        <f t="shared" si="1"/>
        <v>384012</v>
      </c>
      <c r="G28" s="65">
        <f t="shared" si="0"/>
        <v>9673</v>
      </c>
      <c r="H28" s="65">
        <f t="shared" si="2"/>
        <v>84482</v>
      </c>
      <c r="I28" s="65">
        <f t="shared" si="3"/>
        <v>84482</v>
      </c>
      <c r="J28" s="65">
        <f t="shared" si="4"/>
        <v>0</v>
      </c>
      <c r="K28" s="51">
        <f t="shared" si="8"/>
        <v>1727</v>
      </c>
      <c r="L28" s="51">
        <f t="shared" si="6"/>
        <v>7946</v>
      </c>
      <c r="M28" s="51">
        <f t="shared" si="7"/>
        <v>0</v>
      </c>
      <c r="O28" s="51">
        <v>13378.197038448521</v>
      </c>
      <c r="P28" s="65">
        <v>37447.754595694139</v>
      </c>
      <c r="Q28" s="51">
        <v>84156.401526876652</v>
      </c>
      <c r="S28" s="65">
        <v>-850.5421502827943</v>
      </c>
      <c r="T28" s="51">
        <v>0</v>
      </c>
      <c r="U28" s="65">
        <v>-135385</v>
      </c>
      <c r="W28" s="65">
        <v>497698</v>
      </c>
      <c r="X28" s="65"/>
      <c r="Y28" s="65">
        <v>46202.579802117252</v>
      </c>
      <c r="AA28" s="40"/>
    </row>
    <row r="29" spans="1:27" ht="20.100000000000001" customHeight="1" x14ac:dyDescent="0.25">
      <c r="A29" s="46">
        <v>123</v>
      </c>
      <c r="B29" s="63" t="s">
        <v>126</v>
      </c>
      <c r="C29" s="48">
        <f>'MFPRSI Supplemental Info 2014'!D29</f>
        <v>3.2123397007037457E-3</v>
      </c>
      <c r="D29" s="48">
        <v>3.3350410675662499E-3</v>
      </c>
      <c r="E29" s="65">
        <f>'MFPRSI Supplemental Info 2014'!W29</f>
        <v>1164467</v>
      </c>
      <c r="F29" s="65">
        <f t="shared" si="1"/>
        <v>1208947</v>
      </c>
      <c r="G29" s="65">
        <f t="shared" si="0"/>
        <v>44480</v>
      </c>
      <c r="H29" s="65">
        <f t="shared" si="2"/>
        <v>265966</v>
      </c>
      <c r="I29" s="65">
        <f t="shared" si="3"/>
        <v>265966</v>
      </c>
      <c r="J29" s="65">
        <f t="shared" si="4"/>
        <v>0</v>
      </c>
      <c r="K29" s="51">
        <f t="shared" si="8"/>
        <v>7943</v>
      </c>
      <c r="L29" s="51">
        <f t="shared" si="6"/>
        <v>36537</v>
      </c>
      <c r="M29" s="51">
        <f t="shared" si="7"/>
        <v>0</v>
      </c>
      <c r="O29" s="51">
        <v>42117.203114604294</v>
      </c>
      <c r="P29" s="65">
        <v>117892.91800381606</v>
      </c>
      <c r="Q29" s="51">
        <v>264940.95178259606</v>
      </c>
      <c r="S29" s="65">
        <v>-2677.6744577793338</v>
      </c>
      <c r="T29" s="51">
        <v>0</v>
      </c>
      <c r="U29" s="65">
        <v>-426219</v>
      </c>
      <c r="W29" s="65">
        <v>1566850</v>
      </c>
      <c r="X29" s="65"/>
      <c r="Y29" s="65">
        <v>145454.83463518758</v>
      </c>
      <c r="AA29" s="40"/>
    </row>
    <row r="30" spans="1:27" ht="20.100000000000001" customHeight="1" x14ac:dyDescent="0.25">
      <c r="A30" s="46">
        <v>124</v>
      </c>
      <c r="B30" s="63" t="s">
        <v>127</v>
      </c>
      <c r="C30" s="48">
        <f>'MFPRSI Supplemental Info 2014'!D30</f>
        <v>1.4805442570812186E-2</v>
      </c>
      <c r="D30" s="48">
        <v>1.452899507395352E-2</v>
      </c>
      <c r="E30" s="65">
        <f>'MFPRSI Supplemental Info 2014'!W30</f>
        <v>5366947</v>
      </c>
      <c r="F30" s="65">
        <f t="shared" si="1"/>
        <v>5266735</v>
      </c>
      <c r="G30" s="65">
        <f t="shared" si="0"/>
        <v>-100212</v>
      </c>
      <c r="H30" s="65">
        <f t="shared" si="2"/>
        <v>1158672</v>
      </c>
      <c r="I30" s="65">
        <f t="shared" si="3"/>
        <v>1158672</v>
      </c>
      <c r="J30" s="65">
        <f t="shared" si="4"/>
        <v>0</v>
      </c>
      <c r="K30" s="51">
        <f t="shared" si="8"/>
        <v>-17895</v>
      </c>
      <c r="L30" s="51">
        <f t="shared" si="6"/>
        <v>0</v>
      </c>
      <c r="M30" s="51">
        <f t="shared" si="7"/>
        <v>-82317</v>
      </c>
      <c r="O30" s="51">
        <v>183482.18932948116</v>
      </c>
      <c r="P30" s="65">
        <v>513596.56155041454</v>
      </c>
      <c r="Q30" s="51">
        <v>1154206.4116610549</v>
      </c>
      <c r="S30" s="65">
        <v>-11665.199383921616</v>
      </c>
      <c r="T30" s="51">
        <v>0</v>
      </c>
      <c r="U30" s="65">
        <v>-1856811</v>
      </c>
      <c r="W30" s="65">
        <v>6825932</v>
      </c>
      <c r="X30" s="65"/>
      <c r="Y30" s="65">
        <v>633669.13122888666</v>
      </c>
      <c r="AA30" s="40"/>
    </row>
    <row r="31" spans="1:27" ht="20.100000000000001" customHeight="1" x14ac:dyDescent="0.25">
      <c r="A31" s="46">
        <v>125</v>
      </c>
      <c r="B31" s="63" t="s">
        <v>128</v>
      </c>
      <c r="C31" s="48">
        <f>'MFPRSI Supplemental Info 2014'!D31</f>
        <v>6.8337147069923096E-3</v>
      </c>
      <c r="D31" s="48">
        <v>7.1055361824670206E-3</v>
      </c>
      <c r="E31" s="65">
        <f>'MFPRSI Supplemental Info 2014'!W31</f>
        <v>2477210</v>
      </c>
      <c r="F31" s="65">
        <f t="shared" si="1"/>
        <v>2575744</v>
      </c>
      <c r="G31" s="65">
        <f t="shared" si="0"/>
        <v>98534</v>
      </c>
      <c r="H31" s="65">
        <f t="shared" si="2"/>
        <v>566659</v>
      </c>
      <c r="I31" s="65">
        <f t="shared" si="3"/>
        <v>566659</v>
      </c>
      <c r="J31" s="65">
        <f t="shared" si="4"/>
        <v>0</v>
      </c>
      <c r="K31" s="51">
        <f t="shared" si="8"/>
        <v>17595</v>
      </c>
      <c r="L31" s="51">
        <f t="shared" si="6"/>
        <v>80939</v>
      </c>
      <c r="M31" s="51">
        <f t="shared" si="7"/>
        <v>0</v>
      </c>
      <c r="O31" s="51">
        <v>89733.62083769562</v>
      </c>
      <c r="P31" s="65">
        <v>251179.03424920631</v>
      </c>
      <c r="Q31" s="51">
        <v>564475.06371556548</v>
      </c>
      <c r="S31" s="65">
        <v>-5704.9710510771283</v>
      </c>
      <c r="T31" s="51">
        <v>0</v>
      </c>
      <c r="U31" s="65">
        <v>-908089</v>
      </c>
      <c r="W31" s="65">
        <v>3338280</v>
      </c>
      <c r="X31" s="65"/>
      <c r="Y31" s="65">
        <v>309901.60824895196</v>
      </c>
      <c r="AA31" s="40"/>
    </row>
    <row r="32" spans="1:27" ht="20.100000000000001" customHeight="1" x14ac:dyDescent="0.25">
      <c r="A32" s="46">
        <v>126</v>
      </c>
      <c r="B32" s="63" t="s">
        <v>129</v>
      </c>
      <c r="C32" s="48">
        <f>'MFPRSI Supplemental Info 2014'!D32</f>
        <v>4.0720016152878047E-3</v>
      </c>
      <c r="D32" s="48">
        <v>3.8365649561023021E-3</v>
      </c>
      <c r="E32" s="65">
        <f>'MFPRSI Supplemental Info 2014'!W32</f>
        <v>1476093</v>
      </c>
      <c r="F32" s="65">
        <f t="shared" si="1"/>
        <v>1390748</v>
      </c>
      <c r="G32" s="65">
        <f t="shared" si="0"/>
        <v>-85345</v>
      </c>
      <c r="H32" s="65">
        <f t="shared" si="2"/>
        <v>305962</v>
      </c>
      <c r="I32" s="65">
        <f t="shared" si="3"/>
        <v>305962</v>
      </c>
      <c r="J32" s="65">
        <f t="shared" si="4"/>
        <v>0</v>
      </c>
      <c r="K32" s="51">
        <f t="shared" si="8"/>
        <v>-15240</v>
      </c>
      <c r="L32" s="51">
        <f t="shared" si="6"/>
        <v>0</v>
      </c>
      <c r="M32" s="51">
        <f t="shared" si="7"/>
        <v>-70105</v>
      </c>
      <c r="O32" s="51">
        <v>48450.793332044537</v>
      </c>
      <c r="P32" s="65">
        <v>135621.66960545169</v>
      </c>
      <c r="Q32" s="51">
        <v>304782.80490478728</v>
      </c>
      <c r="S32" s="65">
        <v>-3080.3434741699334</v>
      </c>
      <c r="T32" s="51">
        <v>0</v>
      </c>
      <c r="U32" s="65">
        <v>-490314</v>
      </c>
      <c r="W32" s="65">
        <v>1802471</v>
      </c>
      <c r="X32" s="65"/>
      <c r="Y32" s="65">
        <v>167328.35067133117</v>
      </c>
      <c r="AA32" s="40"/>
    </row>
    <row r="33" spans="1:27" ht="20.100000000000001" customHeight="1" x14ac:dyDescent="0.25">
      <c r="A33" s="46">
        <v>127</v>
      </c>
      <c r="B33" s="63" t="s">
        <v>130</v>
      </c>
      <c r="C33" s="48">
        <f>'MFPRSI Supplemental Info 2014'!D33</f>
        <v>4.6781966677311264E-3</v>
      </c>
      <c r="D33" s="48">
        <v>4.5037462126614018E-3</v>
      </c>
      <c r="E33" s="65">
        <f>'MFPRSI Supplemental Info 2014'!W33</f>
        <v>1695838</v>
      </c>
      <c r="F33" s="65">
        <f t="shared" si="1"/>
        <v>1632600</v>
      </c>
      <c r="G33" s="65">
        <f t="shared" si="0"/>
        <v>-63238</v>
      </c>
      <c r="H33" s="65">
        <f t="shared" si="2"/>
        <v>359169</v>
      </c>
      <c r="I33" s="65">
        <f t="shared" si="3"/>
        <v>359169</v>
      </c>
      <c r="J33" s="65">
        <f t="shared" si="4"/>
        <v>0</v>
      </c>
      <c r="K33" s="51">
        <f t="shared" si="8"/>
        <v>-11293</v>
      </c>
      <c r="L33" s="51">
        <f t="shared" si="6"/>
        <v>0</v>
      </c>
      <c r="M33" s="51">
        <f t="shared" si="7"/>
        <v>-51945</v>
      </c>
      <c r="O33" s="51">
        <v>56876.419262121133</v>
      </c>
      <c r="P33" s="65">
        <v>159206.37023722057</v>
      </c>
      <c r="Q33" s="51">
        <v>357784.74207531504</v>
      </c>
      <c r="S33" s="65">
        <v>-3616.0173004299254</v>
      </c>
      <c r="T33" s="51">
        <v>0</v>
      </c>
      <c r="U33" s="65">
        <v>-575581</v>
      </c>
      <c r="W33" s="65">
        <v>2115926</v>
      </c>
      <c r="X33" s="65"/>
      <c r="Y33" s="65">
        <v>196426.86471611293</v>
      </c>
      <c r="AA33" s="40"/>
    </row>
    <row r="34" spans="1:27" ht="20.100000000000001" customHeight="1" x14ac:dyDescent="0.25">
      <c r="A34" s="46">
        <v>128</v>
      </c>
      <c r="B34" s="63" t="s">
        <v>131</v>
      </c>
      <c r="C34" s="48">
        <f>'MFPRSI Supplemental Info 2014'!D34</f>
        <v>3.7781370334920884E-2</v>
      </c>
      <c r="D34" s="48">
        <v>3.7049719894093142E-2</v>
      </c>
      <c r="E34" s="65">
        <f>'MFPRSI Supplemental Info 2014'!W34</f>
        <v>13695681</v>
      </c>
      <c r="F34" s="65">
        <f t="shared" si="1"/>
        <v>13430459</v>
      </c>
      <c r="G34" s="65">
        <f t="shared" si="0"/>
        <v>-265222</v>
      </c>
      <c r="H34" s="65">
        <f t="shared" si="2"/>
        <v>2954676</v>
      </c>
      <c r="I34" s="65">
        <f t="shared" si="3"/>
        <v>2954676</v>
      </c>
      <c r="J34" s="65">
        <f t="shared" si="4"/>
        <v>0</v>
      </c>
      <c r="K34" s="51">
        <f t="shared" si="8"/>
        <v>-47361</v>
      </c>
      <c r="L34" s="51">
        <f t="shared" si="6"/>
        <v>0</v>
      </c>
      <c r="M34" s="51">
        <f t="shared" si="7"/>
        <v>-217861</v>
      </c>
      <c r="O34" s="51">
        <v>467889.46417905501</v>
      </c>
      <c r="P34" s="65">
        <v>1309698.8915720175</v>
      </c>
      <c r="Q34" s="51">
        <v>2943288.5092425114</v>
      </c>
      <c r="S34" s="65">
        <v>-29746.886655488335</v>
      </c>
      <c r="T34" s="51">
        <v>0</v>
      </c>
      <c r="U34" s="65">
        <v>-4734966</v>
      </c>
      <c r="W34" s="65">
        <v>17406489</v>
      </c>
      <c r="X34" s="65"/>
      <c r="Y34" s="65">
        <v>1615890.410731287</v>
      </c>
      <c r="AA34" s="40"/>
    </row>
    <row r="35" spans="1:27" ht="20.100000000000001" customHeight="1" x14ac:dyDescent="0.25">
      <c r="A35" s="46">
        <v>129</v>
      </c>
      <c r="B35" s="63" t="s">
        <v>132</v>
      </c>
      <c r="C35" s="48">
        <f>'MFPRSI Supplemental Info 2014'!D35</f>
        <v>8.0940792250535059E-3</v>
      </c>
      <c r="D35" s="48">
        <v>8.186804432003569E-3</v>
      </c>
      <c r="E35" s="65">
        <f>'MFPRSI Supplemental Info 2014'!W35</f>
        <v>2934090</v>
      </c>
      <c r="F35" s="65">
        <f t="shared" si="1"/>
        <v>2967702</v>
      </c>
      <c r="G35" s="65">
        <f t="shared" si="0"/>
        <v>33612</v>
      </c>
      <c r="H35" s="65">
        <f t="shared" si="2"/>
        <v>652889</v>
      </c>
      <c r="I35" s="65">
        <f t="shared" si="3"/>
        <v>652889</v>
      </c>
      <c r="J35" s="65">
        <f t="shared" si="4"/>
        <v>0</v>
      </c>
      <c r="K35" s="51">
        <f t="shared" si="8"/>
        <v>6002</v>
      </c>
      <c r="L35" s="51">
        <f t="shared" si="6"/>
        <v>27610</v>
      </c>
      <c r="M35" s="51">
        <f t="shared" si="7"/>
        <v>0</v>
      </c>
      <c r="O35" s="51">
        <v>103388.62344920359</v>
      </c>
      <c r="P35" s="65">
        <v>289401.61277228466</v>
      </c>
      <c r="Q35" s="51">
        <v>650372.72835019266</v>
      </c>
      <c r="S35" s="65">
        <v>-6573.1115972157777</v>
      </c>
      <c r="T35" s="51">
        <v>0</v>
      </c>
      <c r="U35" s="65">
        <v>-1046277</v>
      </c>
      <c r="W35" s="65">
        <v>3846281</v>
      </c>
      <c r="X35" s="65"/>
      <c r="Y35" s="65">
        <v>357060.15629867348</v>
      </c>
      <c r="AA35" s="40"/>
    </row>
    <row r="36" spans="1:27" ht="20.100000000000001" customHeight="1" x14ac:dyDescent="0.25">
      <c r="A36" s="46">
        <v>130</v>
      </c>
      <c r="B36" s="63" t="s">
        <v>133</v>
      </c>
      <c r="C36" s="48">
        <f>'MFPRSI Supplemental Info 2014'!D36</f>
        <v>2.5470034033618421E-3</v>
      </c>
      <c r="D36" s="48">
        <v>2.5516200258604055E-3</v>
      </c>
      <c r="E36" s="65">
        <f>'MFPRSI Supplemental Info 2014'!W36</f>
        <v>923284</v>
      </c>
      <c r="F36" s="65">
        <f t="shared" si="1"/>
        <v>924958</v>
      </c>
      <c r="G36" s="65">
        <f t="shared" si="0"/>
        <v>1674</v>
      </c>
      <c r="H36" s="65">
        <f t="shared" si="2"/>
        <v>203489</v>
      </c>
      <c r="I36" s="65">
        <f t="shared" si="3"/>
        <v>203489</v>
      </c>
      <c r="J36" s="65">
        <f t="shared" si="4"/>
        <v>0</v>
      </c>
      <c r="K36" s="51">
        <f t="shared" si="8"/>
        <v>299</v>
      </c>
      <c r="L36" s="51">
        <f t="shared" si="6"/>
        <v>1375</v>
      </c>
      <c r="M36" s="51">
        <f t="shared" si="7"/>
        <v>0</v>
      </c>
      <c r="O36" s="51">
        <v>32223.620856003072</v>
      </c>
      <c r="P36" s="65">
        <v>90199.16828345925</v>
      </c>
      <c r="Q36" s="51">
        <v>202704.74172371163</v>
      </c>
      <c r="S36" s="65">
        <v>-2048.6727541830869</v>
      </c>
      <c r="T36" s="51">
        <v>0</v>
      </c>
      <c r="U36" s="65">
        <v>-326098</v>
      </c>
      <c r="W36" s="65">
        <v>1198788</v>
      </c>
      <c r="X36" s="65"/>
      <c r="Y36" s="65">
        <v>111286.62627959847</v>
      </c>
      <c r="AA36" s="40"/>
    </row>
    <row r="37" spans="1:27" ht="20.100000000000001" customHeight="1" x14ac:dyDescent="0.25">
      <c r="A37" s="46">
        <v>131</v>
      </c>
      <c r="B37" s="67" t="s">
        <v>134</v>
      </c>
      <c r="C37" s="48">
        <f>'MFPRSI Supplemental Info 2014'!D37</f>
        <v>3.5153135722255846E-3</v>
      </c>
      <c r="D37" s="48">
        <v>3.5285984918947454E-3</v>
      </c>
      <c r="E37" s="65">
        <f>'MFPRSI Supplemental Info 2014'!W37</f>
        <v>1274295</v>
      </c>
      <c r="F37" s="65">
        <f t="shared" si="1"/>
        <v>1279111</v>
      </c>
      <c r="G37" s="65">
        <f t="shared" si="0"/>
        <v>4816</v>
      </c>
      <c r="H37" s="65">
        <f t="shared" si="2"/>
        <v>281402</v>
      </c>
      <c r="I37" s="65">
        <f t="shared" si="3"/>
        <v>281402</v>
      </c>
      <c r="J37" s="65">
        <f t="shared" si="4"/>
        <v>0</v>
      </c>
      <c r="K37" s="51">
        <f t="shared" si="8"/>
        <v>860</v>
      </c>
      <c r="L37" s="51">
        <f t="shared" si="6"/>
        <v>3956</v>
      </c>
      <c r="M37" s="51">
        <f t="shared" si="7"/>
        <v>0</v>
      </c>
      <c r="O37" s="51">
        <v>44561.580017204746</v>
      </c>
      <c r="P37" s="65">
        <v>124735.12746783365</v>
      </c>
      <c r="Q37" s="51">
        <v>280317.4605533267</v>
      </c>
      <c r="S37" s="65">
        <v>-2833.0799717558639</v>
      </c>
      <c r="T37" s="51">
        <v>0</v>
      </c>
      <c r="U37" s="65">
        <v>-450956</v>
      </c>
      <c r="W37" s="65">
        <v>1657787</v>
      </c>
      <c r="X37" s="65"/>
      <c r="Y37" s="65">
        <v>153896.66865693757</v>
      </c>
      <c r="AA37" s="40"/>
    </row>
    <row r="38" spans="1:27" ht="20.100000000000001" customHeight="1" x14ac:dyDescent="0.25">
      <c r="A38" s="46">
        <v>132</v>
      </c>
      <c r="B38" s="63" t="s">
        <v>135</v>
      </c>
      <c r="C38" s="48">
        <f>'MFPRSI Supplemental Info 2014'!D38</f>
        <v>2.1412426908496702E-3</v>
      </c>
      <c r="D38" s="48">
        <v>2.1743861859084453E-3</v>
      </c>
      <c r="E38" s="65">
        <f>'MFPRSI Supplemental Info 2014'!W38</f>
        <v>776197</v>
      </c>
      <c r="F38" s="65">
        <f t="shared" si="1"/>
        <v>788211</v>
      </c>
      <c r="G38" s="65">
        <f t="shared" si="0"/>
        <v>12014</v>
      </c>
      <c r="H38" s="65">
        <f t="shared" si="2"/>
        <v>173405</v>
      </c>
      <c r="I38" s="65">
        <f t="shared" si="3"/>
        <v>173405</v>
      </c>
      <c r="J38" s="65">
        <f t="shared" si="4"/>
        <v>0</v>
      </c>
      <c r="K38" s="51">
        <f t="shared" si="8"/>
        <v>2145</v>
      </c>
      <c r="L38" s="51">
        <f t="shared" si="6"/>
        <v>9869</v>
      </c>
      <c r="M38" s="51">
        <f t="shared" si="7"/>
        <v>0</v>
      </c>
      <c r="O38" s="51">
        <v>27459.651256506309</v>
      </c>
      <c r="P38" s="65">
        <v>76864.040691109854</v>
      </c>
      <c r="Q38" s="51">
        <v>172736.68718505773</v>
      </c>
      <c r="S38" s="65">
        <v>-1745.7950991902176</v>
      </c>
      <c r="T38" s="51">
        <v>0</v>
      </c>
      <c r="U38" s="65">
        <v>-277886</v>
      </c>
      <c r="W38" s="65">
        <v>1021555</v>
      </c>
      <c r="X38" s="65"/>
      <c r="Y38" s="65">
        <v>94833.909597146645</v>
      </c>
      <c r="AA38" s="40"/>
    </row>
    <row r="39" spans="1:27" ht="20.100000000000001" customHeight="1" x14ac:dyDescent="0.25">
      <c r="A39" s="46">
        <v>133</v>
      </c>
      <c r="B39" s="67" t="s">
        <v>136</v>
      </c>
      <c r="C39" s="48">
        <f>'MFPRSI Supplemental Info 2014'!D39</f>
        <v>1.8394678186215749E-2</v>
      </c>
      <c r="D39" s="48">
        <v>1.8580835610573547E-2</v>
      </c>
      <c r="E39" s="65">
        <f>'MFPRSI Supplemental Info 2014'!W39</f>
        <v>6668039</v>
      </c>
      <c r="F39" s="65">
        <f t="shared" si="1"/>
        <v>6735520</v>
      </c>
      <c r="G39" s="65">
        <f t="shared" si="0"/>
        <v>67481</v>
      </c>
      <c r="H39" s="65">
        <f t="shared" si="2"/>
        <v>1481802</v>
      </c>
      <c r="I39" s="65">
        <f t="shared" si="3"/>
        <v>1481802</v>
      </c>
      <c r="J39" s="65">
        <f t="shared" si="4"/>
        <v>0</v>
      </c>
      <c r="K39" s="51">
        <f t="shared" si="8"/>
        <v>12050</v>
      </c>
      <c r="L39" s="51">
        <f t="shared" si="6"/>
        <v>55431</v>
      </c>
      <c r="M39" s="51">
        <f t="shared" si="7"/>
        <v>0</v>
      </c>
      <c r="O39" s="51">
        <v>234651.63144772965</v>
      </c>
      <c r="P39" s="65">
        <v>656828.17233740643</v>
      </c>
      <c r="Q39" s="51">
        <v>1476091.0501092409</v>
      </c>
      <c r="S39" s="65">
        <v>-14918.385684209006</v>
      </c>
      <c r="T39" s="51">
        <v>0</v>
      </c>
      <c r="U39" s="65">
        <v>-2374636</v>
      </c>
      <c r="W39" s="65">
        <v>8729540</v>
      </c>
      <c r="X39" s="65"/>
      <c r="Y39" s="65">
        <v>810386.5338881294</v>
      </c>
      <c r="AA39" s="40"/>
    </row>
    <row r="40" spans="1:27" ht="20.100000000000001" customHeight="1" x14ac:dyDescent="0.25">
      <c r="A40" s="46">
        <v>134</v>
      </c>
      <c r="B40" s="63" t="s">
        <v>137</v>
      </c>
      <c r="C40" s="48">
        <f>'MFPRSI Supplemental Info 2014'!D40</f>
        <v>1.5610552003226806E-2</v>
      </c>
      <c r="D40" s="48">
        <v>1.5159812212181921E-2</v>
      </c>
      <c r="E40" s="65">
        <f>'MFPRSI Supplemental Info 2014'!W40</f>
        <v>5658798</v>
      </c>
      <c r="F40" s="65">
        <f t="shared" si="1"/>
        <v>5495405</v>
      </c>
      <c r="G40" s="65">
        <f t="shared" si="0"/>
        <v>-163393</v>
      </c>
      <c r="H40" s="65">
        <f t="shared" si="2"/>
        <v>1208979</v>
      </c>
      <c r="I40" s="65">
        <f t="shared" si="3"/>
        <v>1208979</v>
      </c>
      <c r="J40" s="65">
        <f t="shared" si="4"/>
        <v>0</v>
      </c>
      <c r="K40" s="51">
        <f t="shared" si="8"/>
        <v>-29177</v>
      </c>
      <c r="L40" s="51">
        <f t="shared" si="6"/>
        <v>0</v>
      </c>
      <c r="M40" s="51">
        <f t="shared" si="7"/>
        <v>-134216</v>
      </c>
      <c r="O40" s="51">
        <v>191448.58404567192</v>
      </c>
      <c r="P40" s="65">
        <v>535895.79914476105</v>
      </c>
      <c r="Q40" s="51">
        <v>1204319.5255979004</v>
      </c>
      <c r="S40" s="65">
        <v>-12171.676786850954</v>
      </c>
      <c r="T40" s="51">
        <v>0</v>
      </c>
      <c r="U40" s="65">
        <v>-1937429</v>
      </c>
      <c r="W40" s="65">
        <v>7122296</v>
      </c>
      <c r="X40" s="65"/>
      <c r="Y40" s="65">
        <v>661181.6567621968</v>
      </c>
      <c r="AA40" s="40"/>
    </row>
    <row r="41" spans="1:27" ht="20.100000000000001" customHeight="1" x14ac:dyDescent="0.25">
      <c r="A41" s="46">
        <v>135</v>
      </c>
      <c r="B41" s="67" t="s">
        <v>138</v>
      </c>
      <c r="C41" s="48">
        <f>'MFPRSI Supplemental Info 2014'!D41</f>
        <v>2.0054860770485287E-2</v>
      </c>
      <c r="D41" s="48">
        <v>2.0837454861313963E-2</v>
      </c>
      <c r="E41" s="65">
        <f>'MFPRSI Supplemental Info 2014'!W41</f>
        <v>7269852</v>
      </c>
      <c r="F41" s="65">
        <f t="shared" si="1"/>
        <v>7553541</v>
      </c>
      <c r="G41" s="65">
        <f t="shared" si="0"/>
        <v>283689</v>
      </c>
      <c r="H41" s="65">
        <f t="shared" si="2"/>
        <v>1661765</v>
      </c>
      <c r="I41" s="65">
        <f t="shared" si="3"/>
        <v>1661765</v>
      </c>
      <c r="J41" s="65">
        <f t="shared" si="4"/>
        <v>0</v>
      </c>
      <c r="K41" s="51">
        <f t="shared" si="8"/>
        <v>50659</v>
      </c>
      <c r="L41" s="51">
        <f t="shared" si="6"/>
        <v>233030</v>
      </c>
      <c r="M41" s="51">
        <f t="shared" si="7"/>
        <v>0</v>
      </c>
      <c r="O41" s="51">
        <v>263149.77866998187</v>
      </c>
      <c r="P41" s="65">
        <v>736599.13254555617</v>
      </c>
      <c r="Q41" s="51">
        <v>1655360.4623861914</v>
      </c>
      <c r="S41" s="65">
        <v>-16730.204971055227</v>
      </c>
      <c r="T41" s="51">
        <v>0</v>
      </c>
      <c r="U41" s="65">
        <v>-2663034</v>
      </c>
      <c r="W41" s="65">
        <v>9789737</v>
      </c>
      <c r="X41" s="65"/>
      <c r="Y41" s="65">
        <v>908806.96509156248</v>
      </c>
      <c r="AA41" s="40"/>
    </row>
    <row r="42" spans="1:27" ht="20.100000000000001" customHeight="1" x14ac:dyDescent="0.25">
      <c r="A42" s="46">
        <v>136</v>
      </c>
      <c r="B42" s="67" t="s">
        <v>139</v>
      </c>
      <c r="C42" s="48">
        <f>'MFPRSI Supplemental Info 2014'!D42</f>
        <v>1.7550385557971553E-2</v>
      </c>
      <c r="D42" s="48">
        <v>1.7595894656559901E-2</v>
      </c>
      <c r="E42" s="65">
        <f>'MFPRSI Supplemental Info 2014'!W42</f>
        <v>6361984</v>
      </c>
      <c r="F42" s="65">
        <f t="shared" si="1"/>
        <v>6378481</v>
      </c>
      <c r="G42" s="65">
        <f t="shared" si="0"/>
        <v>16497</v>
      </c>
      <c r="H42" s="65">
        <f t="shared" si="2"/>
        <v>1403254</v>
      </c>
      <c r="I42" s="65">
        <f t="shared" si="3"/>
        <v>1403254</v>
      </c>
      <c r="J42" s="65">
        <f t="shared" si="4"/>
        <v>0</v>
      </c>
      <c r="K42" s="51">
        <f t="shared" si="8"/>
        <v>2946</v>
      </c>
      <c r="L42" s="51">
        <f t="shared" si="6"/>
        <v>13551</v>
      </c>
      <c r="M42" s="51">
        <f t="shared" si="7"/>
        <v>0</v>
      </c>
      <c r="O42" s="51">
        <v>222213.11648624612</v>
      </c>
      <c r="P42" s="65">
        <v>622010.74107414822</v>
      </c>
      <c r="Q42" s="51">
        <v>1397845.7786060439</v>
      </c>
      <c r="S42" s="65">
        <v>-14127.585456700035</v>
      </c>
      <c r="T42" s="51">
        <v>0</v>
      </c>
      <c r="U42" s="65">
        <v>-2248760</v>
      </c>
      <c r="W42" s="65">
        <v>8266801</v>
      </c>
      <c r="X42" s="65"/>
      <c r="Y42" s="65">
        <v>767429.21471603715</v>
      </c>
      <c r="AA42" s="40"/>
    </row>
    <row r="43" spans="1:27" ht="20.100000000000001" customHeight="1" x14ac:dyDescent="0.25">
      <c r="A43" s="46">
        <v>137</v>
      </c>
      <c r="B43" s="67" t="s">
        <v>140</v>
      </c>
      <c r="C43" s="48">
        <f>'MFPRSI Supplemental Info 2014'!D43</f>
        <v>1.0652561755950604E-2</v>
      </c>
      <c r="D43" s="48">
        <v>1.0909436128827438E-2</v>
      </c>
      <c r="E43" s="65">
        <f>'MFPRSI Supplemental Info 2014'!W43</f>
        <v>3861535</v>
      </c>
      <c r="F43" s="65">
        <f t="shared" si="1"/>
        <v>3954652</v>
      </c>
      <c r="G43" s="65">
        <f t="shared" si="0"/>
        <v>93117</v>
      </c>
      <c r="H43" s="65">
        <f t="shared" si="2"/>
        <v>870016</v>
      </c>
      <c r="I43" s="65">
        <f t="shared" si="3"/>
        <v>870016</v>
      </c>
      <c r="J43" s="65">
        <f t="shared" si="4"/>
        <v>0</v>
      </c>
      <c r="K43" s="51">
        <f>ROUND((G43+J43)/5.6,0)</f>
        <v>16628</v>
      </c>
      <c r="L43" s="51">
        <f t="shared" si="6"/>
        <v>76489</v>
      </c>
      <c r="M43" s="51">
        <f t="shared" si="7"/>
        <v>0</v>
      </c>
      <c r="O43" s="51">
        <v>137771.89785519789</v>
      </c>
      <c r="P43" s="65">
        <v>385646.00343655964</v>
      </c>
      <c r="Q43" s="51">
        <v>866662.90843975195</v>
      </c>
      <c r="S43" s="65">
        <v>-8759.0880829103899</v>
      </c>
      <c r="T43" s="51">
        <v>0</v>
      </c>
      <c r="U43" s="65">
        <v>-1394229</v>
      </c>
      <c r="W43" s="65">
        <v>5125407</v>
      </c>
      <c r="X43" s="65"/>
      <c r="Y43" s="65">
        <v>475805.30372290954</v>
      </c>
      <c r="AA43" s="40"/>
    </row>
    <row r="44" spans="1:27" ht="20.100000000000001" customHeight="1" x14ac:dyDescent="0.25">
      <c r="A44" s="46">
        <v>138</v>
      </c>
      <c r="B44" s="67" t="s">
        <v>141</v>
      </c>
      <c r="C44" s="48">
        <f>'MFPRSI Supplemental Info 2014'!D44</f>
        <v>2.3467098673224606E-3</v>
      </c>
      <c r="D44" s="48">
        <v>2.3002812714395474E-3</v>
      </c>
      <c r="E44" s="65">
        <f>'MFPRSI Supplemental Info 2014'!W44</f>
        <v>850678</v>
      </c>
      <c r="F44" s="65">
        <f t="shared" si="1"/>
        <v>833848</v>
      </c>
      <c r="G44" s="65">
        <f t="shared" si="0"/>
        <v>-16830</v>
      </c>
      <c r="H44" s="65">
        <f t="shared" si="2"/>
        <v>183445</v>
      </c>
      <c r="I44" s="65">
        <f t="shared" si="3"/>
        <v>183445</v>
      </c>
      <c r="J44" s="65">
        <f t="shared" si="4"/>
        <v>0</v>
      </c>
      <c r="K44" s="51">
        <f t="shared" si="8"/>
        <v>-3005</v>
      </c>
      <c r="L44" s="51">
        <f t="shared" si="6"/>
        <v>0</v>
      </c>
      <c r="M44" s="51">
        <f t="shared" si="7"/>
        <v>-13825</v>
      </c>
      <c r="O44" s="51">
        <v>29049.541390097169</v>
      </c>
      <c r="P44" s="65">
        <v>81314.402379289211</v>
      </c>
      <c r="Q44" s="51">
        <v>182737.99244925415</v>
      </c>
      <c r="S44" s="65">
        <v>-1846.8751303073698</v>
      </c>
      <c r="T44" s="51">
        <v>0</v>
      </c>
      <c r="U44" s="65">
        <v>-293977</v>
      </c>
      <c r="W44" s="65">
        <v>1080705</v>
      </c>
      <c r="X44" s="65"/>
      <c r="Y44" s="65">
        <v>100324.7112023792</v>
      </c>
      <c r="AA44" s="40"/>
    </row>
    <row r="45" spans="1:27" ht="20.100000000000001" customHeight="1" x14ac:dyDescent="0.25">
      <c r="A45" s="46">
        <v>139</v>
      </c>
      <c r="B45" s="63" t="s">
        <v>142</v>
      </c>
      <c r="C45" s="48">
        <f>'MFPRSI Supplemental Info 2014'!D45</f>
        <v>4.8796202452608475E-3</v>
      </c>
      <c r="D45" s="48">
        <v>4.907776646017741E-3</v>
      </c>
      <c r="E45" s="65">
        <f>'MFPRSI Supplemental Info 2014'!W45</f>
        <v>1768854</v>
      </c>
      <c r="F45" s="65">
        <f t="shared" si="1"/>
        <v>1779060</v>
      </c>
      <c r="G45" s="65">
        <f t="shared" si="0"/>
        <v>10206</v>
      </c>
      <c r="H45" s="65">
        <f t="shared" si="2"/>
        <v>391390</v>
      </c>
      <c r="I45" s="65">
        <f t="shared" si="3"/>
        <v>391390</v>
      </c>
      <c r="J45" s="65">
        <f t="shared" si="4"/>
        <v>0</v>
      </c>
      <c r="K45" s="51">
        <f t="shared" si="8"/>
        <v>1823</v>
      </c>
      <c r="L45" s="51">
        <f t="shared" si="6"/>
        <v>8383</v>
      </c>
      <c r="M45" s="51">
        <f t="shared" si="7"/>
        <v>0</v>
      </c>
      <c r="O45" s="51">
        <v>61978.794759574434</v>
      </c>
      <c r="P45" s="65">
        <v>173488.75110921534</v>
      </c>
      <c r="Q45" s="51">
        <v>389881.56049340992</v>
      </c>
      <c r="S45" s="65">
        <v>-3940.4096990978301</v>
      </c>
      <c r="T45" s="51">
        <v>0</v>
      </c>
      <c r="U45" s="65">
        <v>-627216</v>
      </c>
      <c r="W45" s="65">
        <v>2305745</v>
      </c>
      <c r="X45" s="65"/>
      <c r="Y45" s="65">
        <v>214048.29086374224</v>
      </c>
      <c r="AA45" s="40"/>
    </row>
    <row r="46" spans="1:27" ht="20.100000000000001" customHeight="1" x14ac:dyDescent="0.25">
      <c r="A46" s="46">
        <v>140</v>
      </c>
      <c r="B46" s="67" t="s">
        <v>143</v>
      </c>
      <c r="C46" s="48">
        <f>'MFPRSI Supplemental Info 2014'!D46</f>
        <v>1.4834069085115394E-2</v>
      </c>
      <c r="D46" s="48">
        <v>1.459245673011616E-2</v>
      </c>
      <c r="E46" s="65">
        <f>'MFPRSI Supplemental Info 2014'!W46</f>
        <v>5377325</v>
      </c>
      <c r="F46" s="65">
        <f t="shared" si="1"/>
        <v>5289740</v>
      </c>
      <c r="G46" s="65">
        <f t="shared" si="0"/>
        <v>-87585</v>
      </c>
      <c r="H46" s="65">
        <f t="shared" si="2"/>
        <v>1163733</v>
      </c>
      <c r="I46" s="65">
        <f t="shared" si="3"/>
        <v>1163733</v>
      </c>
      <c r="J46" s="65">
        <f t="shared" si="4"/>
        <v>0</v>
      </c>
      <c r="K46" s="51">
        <f t="shared" si="8"/>
        <v>-15640</v>
      </c>
      <c r="L46" s="51">
        <f t="shared" si="6"/>
        <v>0</v>
      </c>
      <c r="M46" s="51">
        <f t="shared" si="7"/>
        <v>-71945</v>
      </c>
      <c r="O46" s="51">
        <v>184283.62697550739</v>
      </c>
      <c r="P46" s="65">
        <v>515839.9161822747</v>
      </c>
      <c r="Q46" s="51">
        <v>1159247.9062768018</v>
      </c>
      <c r="S46" s="65">
        <v>-11716.152176499694</v>
      </c>
      <c r="T46" s="51">
        <v>0</v>
      </c>
      <c r="U46" s="65">
        <v>-1864921</v>
      </c>
      <c r="W46" s="65">
        <v>6855747</v>
      </c>
      <c r="X46" s="65"/>
      <c r="Y46" s="65">
        <v>636436.95462769957</v>
      </c>
      <c r="AA46" s="40"/>
    </row>
    <row r="47" spans="1:27" ht="20.100000000000001" customHeight="1" x14ac:dyDescent="0.25">
      <c r="A47" s="46">
        <v>141</v>
      </c>
      <c r="B47" s="68" t="s">
        <v>144</v>
      </c>
      <c r="C47" s="48">
        <f>'MFPRSI Supplemental Info 2014'!D47</f>
        <v>3.0993608241631594E-3</v>
      </c>
      <c r="D47" s="48">
        <v>3.2883821419426211E-3</v>
      </c>
      <c r="E47" s="65">
        <f>'MFPRSI Supplemental Info 2014'!W47</f>
        <v>1123513</v>
      </c>
      <c r="F47" s="65">
        <f t="shared" si="1"/>
        <v>1192033</v>
      </c>
      <c r="G47" s="65">
        <f t="shared" si="0"/>
        <v>68520</v>
      </c>
      <c r="H47" s="65">
        <f t="shared" si="2"/>
        <v>262245</v>
      </c>
      <c r="I47" s="65">
        <f t="shared" si="3"/>
        <v>262245</v>
      </c>
      <c r="J47" s="65">
        <f t="shared" si="4"/>
        <v>0</v>
      </c>
      <c r="K47" s="51">
        <f t="shared" si="8"/>
        <v>12236</v>
      </c>
      <c r="L47" s="51">
        <f t="shared" si="6"/>
        <v>56284</v>
      </c>
      <c r="M47" s="51">
        <f t="shared" si="7"/>
        <v>0</v>
      </c>
      <c r="O47" s="51">
        <v>41527.9619605115</v>
      </c>
      <c r="P47" s="65">
        <v>116243.53594786829</v>
      </c>
      <c r="Q47" s="51">
        <v>261234.29272999894</v>
      </c>
      <c r="S47" s="65">
        <v>-2640.2124263264532</v>
      </c>
      <c r="T47" s="51">
        <v>0</v>
      </c>
      <c r="U47" s="65">
        <v>-420256</v>
      </c>
      <c r="W47" s="65">
        <v>1544928</v>
      </c>
      <c r="X47" s="65"/>
      <c r="Y47" s="65">
        <v>143419.84730719251</v>
      </c>
      <c r="AA47" s="40"/>
    </row>
    <row r="48" spans="1:27" ht="20.100000000000001" customHeight="1" x14ac:dyDescent="0.25">
      <c r="A48" s="46">
        <v>142</v>
      </c>
      <c r="B48" s="63" t="s">
        <v>145</v>
      </c>
      <c r="C48" s="48">
        <f>'MFPRSI Supplemental Info 2014'!D48</f>
        <v>6.4715840660402313E-2</v>
      </c>
      <c r="D48" s="48">
        <v>6.3433605634121065E-2</v>
      </c>
      <c r="E48" s="65">
        <f>'MFPRSI Supplemental Info 2014'!W48</f>
        <v>23459379</v>
      </c>
      <c r="F48" s="65">
        <f t="shared" si="1"/>
        <v>22994571</v>
      </c>
      <c r="G48" s="65">
        <f t="shared" si="0"/>
        <v>-464808</v>
      </c>
      <c r="H48" s="65">
        <f t="shared" si="2"/>
        <v>5058763</v>
      </c>
      <c r="I48" s="65">
        <f t="shared" si="3"/>
        <v>5058763</v>
      </c>
      <c r="J48" s="65">
        <f t="shared" si="4"/>
        <v>0</v>
      </c>
      <c r="K48" s="51">
        <f t="shared" si="8"/>
        <v>-83001</v>
      </c>
      <c r="L48" s="51">
        <f t="shared" si="6"/>
        <v>0</v>
      </c>
      <c r="M48" s="51">
        <f t="shared" si="7"/>
        <v>-381807</v>
      </c>
      <c r="O48" s="51">
        <v>801083.40456917405</v>
      </c>
      <c r="P48" s="65">
        <v>2242363.0522688557</v>
      </c>
      <c r="Q48" s="51">
        <v>5039266.2372731129</v>
      </c>
      <c r="S48" s="65">
        <v>-50930.271061185093</v>
      </c>
      <c r="T48" s="51">
        <v>0</v>
      </c>
      <c r="U48" s="65">
        <v>-8106835</v>
      </c>
      <c r="W48" s="65">
        <v>29802019</v>
      </c>
      <c r="X48" s="65"/>
      <c r="Y48" s="65">
        <v>2766600.0000887532</v>
      </c>
      <c r="AA48" s="40"/>
    </row>
    <row r="49" spans="1:27" ht="20.100000000000001" customHeight="1" x14ac:dyDescent="0.25">
      <c r="A49" s="46">
        <v>143</v>
      </c>
      <c r="B49" s="63" t="s">
        <v>146</v>
      </c>
      <c r="C49" s="48">
        <f>'MFPRSI Supplemental Info 2014'!D49</f>
        <v>5.0431459137678953E-3</v>
      </c>
      <c r="D49" s="48">
        <v>4.9503226644646561E-3</v>
      </c>
      <c r="E49" s="65">
        <f>'MFPRSI Supplemental Info 2014'!W49</f>
        <v>1828132</v>
      </c>
      <c r="F49" s="65">
        <f t="shared" si="1"/>
        <v>1794483</v>
      </c>
      <c r="G49" s="65">
        <f t="shared" si="0"/>
        <v>-33649</v>
      </c>
      <c r="H49" s="65">
        <f t="shared" si="2"/>
        <v>394783</v>
      </c>
      <c r="I49" s="65">
        <f t="shared" si="3"/>
        <v>394783</v>
      </c>
      <c r="J49" s="65">
        <f t="shared" si="4"/>
        <v>0</v>
      </c>
      <c r="K49" s="51">
        <f t="shared" si="8"/>
        <v>-6009</v>
      </c>
      <c r="L49" s="51">
        <f t="shared" si="6"/>
        <v>0</v>
      </c>
      <c r="M49" s="51">
        <f t="shared" si="7"/>
        <v>-27640</v>
      </c>
      <c r="O49" s="51">
        <v>62516.095279820824</v>
      </c>
      <c r="P49" s="65">
        <v>174992.74286299944</v>
      </c>
      <c r="Q49" s="51">
        <v>393261.48367681814</v>
      </c>
      <c r="S49" s="65">
        <v>-3974.5695143946923</v>
      </c>
      <c r="T49" s="51">
        <v>0</v>
      </c>
      <c r="U49" s="65">
        <v>-632652</v>
      </c>
      <c r="W49" s="65">
        <v>2325731</v>
      </c>
      <c r="X49" s="65"/>
      <c r="Y49" s="65">
        <v>215903.89742216395</v>
      </c>
      <c r="AA49" s="40"/>
    </row>
    <row r="50" spans="1:27" ht="20.100000000000001" customHeight="1" x14ac:dyDescent="0.25">
      <c r="A50" s="46">
        <v>144</v>
      </c>
      <c r="B50" s="63" t="s">
        <v>147</v>
      </c>
      <c r="C50" s="48">
        <f>'MFPRSI Supplemental Info 2014'!D50</f>
        <v>3.744975550767104E-3</v>
      </c>
      <c r="D50" s="48">
        <v>3.7970409212821792E-3</v>
      </c>
      <c r="E50" s="65">
        <f>'MFPRSI Supplemental Info 2014'!W50</f>
        <v>1357547</v>
      </c>
      <c r="F50" s="65">
        <f t="shared" si="1"/>
        <v>1376421</v>
      </c>
      <c r="G50" s="65">
        <f t="shared" si="0"/>
        <v>18874</v>
      </c>
      <c r="H50" s="65">
        <f t="shared" si="2"/>
        <v>302810</v>
      </c>
      <c r="I50" s="65">
        <f t="shared" si="3"/>
        <v>302810</v>
      </c>
      <c r="J50" s="65">
        <f t="shared" si="4"/>
        <v>0</v>
      </c>
      <c r="K50" s="51">
        <f t="shared" si="8"/>
        <v>3370</v>
      </c>
      <c r="L50" s="51">
        <f t="shared" si="6"/>
        <v>15504</v>
      </c>
      <c r="M50" s="51">
        <f t="shared" si="7"/>
        <v>0</v>
      </c>
      <c r="O50" s="51">
        <v>47951.656509227963</v>
      </c>
      <c r="P50" s="65">
        <v>134224.50426270853</v>
      </c>
      <c r="Q50" s="51">
        <v>301642.95289355749</v>
      </c>
      <c r="S50" s="65">
        <v>-3048.6099823291702</v>
      </c>
      <c r="T50" s="51">
        <v>0</v>
      </c>
      <c r="U50" s="65">
        <v>-485263</v>
      </c>
      <c r="W50" s="65">
        <v>1783904</v>
      </c>
      <c r="X50" s="65"/>
      <c r="Y50" s="65">
        <v>165604.54522713862</v>
      </c>
      <c r="AA50" s="40"/>
    </row>
    <row r="51" spans="1:27" ht="20.100000000000001" customHeight="1" x14ac:dyDescent="0.25">
      <c r="A51" s="46">
        <v>145</v>
      </c>
      <c r="B51" s="63" t="s">
        <v>148</v>
      </c>
      <c r="C51" s="48">
        <f>'MFPRSI Supplemental Info 2014'!D51</f>
        <v>1.8092471515386233E-2</v>
      </c>
      <c r="D51" s="48">
        <v>1.8926532982386991E-2</v>
      </c>
      <c r="E51" s="65">
        <f>'MFPRSI Supplemental Info 2014'!W51</f>
        <v>6558490</v>
      </c>
      <c r="F51" s="65">
        <f t="shared" si="1"/>
        <v>6860835</v>
      </c>
      <c r="G51" s="65">
        <f t="shared" si="0"/>
        <v>302345</v>
      </c>
      <c r="H51" s="65">
        <f t="shared" si="2"/>
        <v>1509371</v>
      </c>
      <c r="I51" s="65">
        <f t="shared" si="3"/>
        <v>1509371</v>
      </c>
      <c r="J51" s="65">
        <f t="shared" si="4"/>
        <v>0</v>
      </c>
      <c r="K51" s="51">
        <f t="shared" si="8"/>
        <v>53990</v>
      </c>
      <c r="L51" s="51">
        <f t="shared" si="6"/>
        <v>248355</v>
      </c>
      <c r="M51" s="51">
        <f t="shared" si="7"/>
        <v>0</v>
      </c>
      <c r="O51" s="51">
        <v>239017.33673587375</v>
      </c>
      <c r="P51" s="65">
        <v>669048.4931921293</v>
      </c>
      <c r="Q51" s="51">
        <v>1503553.7976021327</v>
      </c>
      <c r="S51" s="65">
        <v>-15195.942992761673</v>
      </c>
      <c r="T51" s="51">
        <v>0</v>
      </c>
      <c r="U51" s="65">
        <v>-2418817</v>
      </c>
      <c r="W51" s="65">
        <v>8891955</v>
      </c>
      <c r="X51" s="65"/>
      <c r="Y51" s="65">
        <v>825463.81570632232</v>
      </c>
      <c r="AA51" s="40"/>
    </row>
    <row r="52" spans="1:27" ht="20.100000000000001" customHeight="1" x14ac:dyDescent="0.25">
      <c r="A52" s="46">
        <v>146</v>
      </c>
      <c r="B52" s="63" t="s">
        <v>149</v>
      </c>
      <c r="C52" s="48">
        <f>'MFPRSI Supplemental Info 2014'!D52</f>
        <v>5.7205204023024966E-2</v>
      </c>
      <c r="D52" s="48">
        <v>5.7245348066870302E-2</v>
      </c>
      <c r="E52" s="65">
        <f>'MFPRSI Supplemental Info 2014'!W52</f>
        <v>20736787</v>
      </c>
      <c r="F52" s="65">
        <f t="shared" si="1"/>
        <v>20751339</v>
      </c>
      <c r="G52" s="65">
        <f t="shared" si="0"/>
        <v>14552</v>
      </c>
      <c r="H52" s="65">
        <f t="shared" si="2"/>
        <v>4565256</v>
      </c>
      <c r="I52" s="65">
        <f t="shared" si="3"/>
        <v>4565256</v>
      </c>
      <c r="J52" s="65">
        <f t="shared" si="4"/>
        <v>0</v>
      </c>
      <c r="K52" s="51">
        <f t="shared" si="8"/>
        <v>2599</v>
      </c>
      <c r="L52" s="51">
        <f t="shared" si="6"/>
        <v>11953</v>
      </c>
      <c r="M52" s="51">
        <f t="shared" si="7"/>
        <v>0</v>
      </c>
      <c r="O52" s="51">
        <v>722933.81192395242</v>
      </c>
      <c r="P52" s="65">
        <v>2023609.6015070695</v>
      </c>
      <c r="Q52" s="51">
        <v>4547661.2415542109</v>
      </c>
      <c r="S52" s="65">
        <v>-45961.774754757564</v>
      </c>
      <c r="T52" s="51">
        <v>0</v>
      </c>
      <c r="U52" s="65">
        <v>-7315974</v>
      </c>
      <c r="W52" s="65">
        <v>26894686</v>
      </c>
      <c r="X52" s="65"/>
      <c r="Y52" s="65">
        <v>2496704.6785953767</v>
      </c>
      <c r="AA52" s="40"/>
    </row>
    <row r="53" spans="1:27" ht="20.100000000000001" customHeight="1" x14ac:dyDescent="0.25">
      <c r="A53" s="46">
        <v>147</v>
      </c>
      <c r="B53" s="63" t="s">
        <v>150</v>
      </c>
      <c r="C53" s="48">
        <f>'MFPRSI Supplemental Info 2014'!D53</f>
        <v>3.6468695365889934E-3</v>
      </c>
      <c r="D53" s="48">
        <v>3.6046872746639414E-3</v>
      </c>
      <c r="E53" s="65">
        <f>'MFPRSI Supplemental Info 2014'!W53</f>
        <v>1321984</v>
      </c>
      <c r="F53" s="65">
        <f t="shared" si="1"/>
        <v>1306693</v>
      </c>
      <c r="G53" s="65">
        <f t="shared" si="0"/>
        <v>-15291</v>
      </c>
      <c r="H53" s="65">
        <f t="shared" si="2"/>
        <v>287470</v>
      </c>
      <c r="I53" s="65">
        <f t="shared" si="3"/>
        <v>287470</v>
      </c>
      <c r="J53" s="65">
        <f t="shared" si="4"/>
        <v>0</v>
      </c>
      <c r="K53" s="51">
        <f t="shared" si="8"/>
        <v>-2731</v>
      </c>
      <c r="L53" s="51">
        <f t="shared" si="6"/>
        <v>0</v>
      </c>
      <c r="M53" s="51">
        <f t="shared" si="7"/>
        <v>-12560</v>
      </c>
      <c r="O53" s="51">
        <v>45522.481743363045</v>
      </c>
      <c r="P53" s="65">
        <v>127424.84805786079</v>
      </c>
      <c r="Q53" s="51">
        <v>286362.07413332112</v>
      </c>
      <c r="S53" s="65">
        <v>-2894.1709706422066</v>
      </c>
      <c r="T53" s="51">
        <v>0</v>
      </c>
      <c r="U53" s="65">
        <v>-460681</v>
      </c>
      <c r="W53" s="65">
        <v>1693535</v>
      </c>
      <c r="X53" s="65"/>
      <c r="Y53" s="65">
        <v>157215.21289404426</v>
      </c>
      <c r="AA53" s="40"/>
    </row>
    <row r="54" spans="1:27" ht="20.100000000000001" customHeight="1" x14ac:dyDescent="0.25">
      <c r="A54" s="46">
        <v>148</v>
      </c>
      <c r="B54" s="63" t="s">
        <v>151</v>
      </c>
      <c r="C54" s="48">
        <f>'MFPRSI Supplemental Info 2014'!D54</f>
        <v>3.1191221088193092E-3</v>
      </c>
      <c r="D54" s="48">
        <v>2.8125764626121754E-3</v>
      </c>
      <c r="E54" s="65">
        <f>'MFPRSI Supplemental Info 2014'!W54</f>
        <v>1130677</v>
      </c>
      <c r="F54" s="65">
        <f t="shared" si="1"/>
        <v>1019554</v>
      </c>
      <c r="G54" s="65">
        <f t="shared" si="0"/>
        <v>-111123</v>
      </c>
      <c r="H54" s="65">
        <f t="shared" si="2"/>
        <v>224300</v>
      </c>
      <c r="I54" s="65">
        <f t="shared" si="3"/>
        <v>224300</v>
      </c>
      <c r="J54" s="65">
        <f t="shared" si="4"/>
        <v>0</v>
      </c>
      <c r="K54" s="51">
        <f t="shared" si="8"/>
        <v>-19843</v>
      </c>
      <c r="L54" s="51">
        <f t="shared" si="6"/>
        <v>0</v>
      </c>
      <c r="M54" s="51">
        <f t="shared" si="7"/>
        <v>-91280</v>
      </c>
      <c r="O54" s="51">
        <v>35519.159060202219</v>
      </c>
      <c r="P54" s="65">
        <v>99423.916997871682</v>
      </c>
      <c r="Q54" s="51">
        <v>223435.53493618092</v>
      </c>
      <c r="S54" s="65">
        <v>-2258.192328643152</v>
      </c>
      <c r="T54" s="51">
        <v>0</v>
      </c>
      <c r="U54" s="65">
        <v>-359449</v>
      </c>
      <c r="W54" s="65">
        <v>1321390</v>
      </c>
      <c r="X54" s="65"/>
      <c r="Y54" s="65">
        <v>122668.00797347246</v>
      </c>
      <c r="AA54" s="40"/>
    </row>
    <row r="55" spans="1:27" ht="19.5" customHeight="1" x14ac:dyDescent="0.25">
      <c r="A55" s="46">
        <v>149</v>
      </c>
      <c r="B55" s="63" t="s">
        <v>152</v>
      </c>
      <c r="C55" s="48">
        <f>'MFPRSI Supplemental Info 2014'!D55</f>
        <v>3.1260783626260578E-2</v>
      </c>
      <c r="D55" s="48">
        <v>3.1567440335854985E-2</v>
      </c>
      <c r="E55" s="65">
        <f>'MFPRSI Supplemental Info 2014'!W55</f>
        <v>11331979</v>
      </c>
      <c r="F55" s="65">
        <f t="shared" si="1"/>
        <v>11443142</v>
      </c>
      <c r="G55" s="65">
        <f t="shared" si="0"/>
        <v>111163</v>
      </c>
      <c r="H55" s="65">
        <f t="shared" si="2"/>
        <v>2517470</v>
      </c>
      <c r="I55" s="65">
        <f t="shared" si="3"/>
        <v>2517470</v>
      </c>
      <c r="J55" s="65">
        <f t="shared" si="4"/>
        <v>0</v>
      </c>
      <c r="K55" s="51">
        <f t="shared" si="8"/>
        <v>19851</v>
      </c>
      <c r="L55" s="51">
        <f t="shared" si="6"/>
        <v>91312</v>
      </c>
      <c r="M55" s="51">
        <f t="shared" si="7"/>
        <v>0</v>
      </c>
      <c r="O55" s="51">
        <v>398655.44966244884</v>
      </c>
      <c r="P55" s="65">
        <v>1115901.5975239947</v>
      </c>
      <c r="Q55" s="51">
        <v>2507767.5262406925</v>
      </c>
      <c r="S55" s="65">
        <v>-25345.213738694943</v>
      </c>
      <c r="T55" s="51">
        <v>0</v>
      </c>
      <c r="U55" s="65">
        <v>-4034329</v>
      </c>
      <c r="W55" s="65">
        <v>14830836</v>
      </c>
      <c r="X55" s="65"/>
      <c r="Y55" s="65">
        <v>1376785.6889566549</v>
      </c>
      <c r="AA55" s="40"/>
    </row>
    <row r="56" spans="1:27" x14ac:dyDescent="0.25">
      <c r="E56" s="64"/>
      <c r="U56" s="65"/>
      <c r="W56" s="51"/>
      <c r="X56" s="51"/>
      <c r="Y56" s="65"/>
    </row>
    <row r="57" spans="1:27" x14ac:dyDescent="0.25">
      <c r="C57" s="69">
        <f t="shared" ref="C57:I57" si="9">SUM(C7:C56)</f>
        <v>1</v>
      </c>
      <c r="D57" s="69">
        <f t="shared" si="9"/>
        <v>0.99999999999999967</v>
      </c>
      <c r="E57" s="65">
        <f>SUM(E7:E56)+E61</f>
        <v>362498253</v>
      </c>
      <c r="F57" s="65">
        <f>SUM(F7:F56)+F61</f>
        <v>362498253</v>
      </c>
      <c r="H57" s="64">
        <f t="shared" si="9"/>
        <v>79748943</v>
      </c>
      <c r="I57" s="64">
        <f t="shared" si="9"/>
        <v>79748943</v>
      </c>
      <c r="J57" s="49">
        <f>SUM(J7:J56)</f>
        <v>0</v>
      </c>
      <c r="K57" s="49"/>
      <c r="L57" s="65">
        <f t="shared" ref="L57" si="10">SUM(L7:L56)</f>
        <v>2261093</v>
      </c>
      <c r="M57" s="65">
        <f>SUM(M7:M56)</f>
        <v>-2261096</v>
      </c>
      <c r="O57" s="65">
        <f>SUM(O7:O56)</f>
        <v>12628691</v>
      </c>
      <c r="P57" s="65">
        <f>SUM(P7:P56)</f>
        <v>35349764.999999993</v>
      </c>
      <c r="Q57" s="65">
        <f>SUM(Q7:Q56)</f>
        <v>79441585.999999985</v>
      </c>
      <c r="S57" s="65">
        <f>SUM(S7:S56)</f>
        <v>-802891</v>
      </c>
      <c r="T57" s="65">
        <f>SUM(T7:T56)</f>
        <v>0</v>
      </c>
      <c r="U57" s="65">
        <f>SUM(U7:U56)+U61</f>
        <v>-127800316</v>
      </c>
      <c r="V57" s="65"/>
      <c r="W57" s="65">
        <f>SUM(W7:W56)+W61</f>
        <v>469814329</v>
      </c>
      <c r="X57" s="65"/>
      <c r="Y57" s="65">
        <f>SUM(Y7:Y56)+Y61</f>
        <v>43614106.000000007</v>
      </c>
    </row>
    <row r="58" spans="1:27" x14ac:dyDescent="0.25">
      <c r="C58" s="69"/>
      <c r="D58" s="69"/>
      <c r="E58" s="65"/>
      <c r="F58" s="65"/>
      <c r="H58" s="64"/>
      <c r="K58" s="49"/>
      <c r="L58" s="65"/>
      <c r="M58" s="65"/>
      <c r="O58" s="65"/>
      <c r="P58" s="65"/>
      <c r="Q58" s="65"/>
      <c r="S58" s="65"/>
      <c r="T58" s="65"/>
      <c r="U58" s="65"/>
      <c r="V58" s="65"/>
      <c r="W58" s="65"/>
      <c r="X58" s="65"/>
      <c r="Y58" s="65"/>
    </row>
    <row r="59" spans="1:27" x14ac:dyDescent="0.25">
      <c r="E59" s="65"/>
      <c r="F59" s="65"/>
      <c r="K59" s="49"/>
      <c r="L59" s="65"/>
      <c r="M59" s="65"/>
      <c r="O59" t="s">
        <v>60</v>
      </c>
      <c r="P59" s="50"/>
      <c r="Q59" s="69"/>
      <c r="R59" s="69"/>
      <c r="S59" s="64"/>
      <c r="T59" s="64"/>
      <c r="U59" s="49">
        <v>5.6</v>
      </c>
      <c r="V59" s="28" t="s">
        <v>61</v>
      </c>
      <c r="W59" s="65"/>
      <c r="X59" s="65"/>
      <c r="Y59" s="65"/>
    </row>
    <row r="60" spans="1:27" x14ac:dyDescent="0.25">
      <c r="E60" s="50"/>
      <c r="F60" s="50"/>
      <c r="U60" s="65"/>
    </row>
    <row r="61" spans="1:27" x14ac:dyDescent="0.25">
      <c r="B61" s="50" t="s">
        <v>153</v>
      </c>
      <c r="E61" s="50">
        <v>-1</v>
      </c>
      <c r="F61" s="50">
        <v>1</v>
      </c>
      <c r="G61" s="49">
        <v>2</v>
      </c>
      <c r="K61" s="50">
        <v>-1</v>
      </c>
      <c r="U61" s="65"/>
      <c r="W61" s="50">
        <v>0</v>
      </c>
      <c r="Y61" s="50">
        <v>0</v>
      </c>
    </row>
  </sheetData>
  <sheetProtection algorithmName="SHA-512" hashValue="8jISSS4pOihC3RlOtxb6/bAExvxsxyzMsc3dcIc6MDoBJBd1bVK8E40xO2Fk/gu0SATcvcn2X6o/O1zZockDjQ==" saltValue="meJososjBeshrZzvsMij2Q==" spinCount="100000" sheet="1" objects="1" scenarios="1"/>
  <mergeCells count="3">
    <mergeCell ref="K3:M3"/>
    <mergeCell ref="O3:Q3"/>
    <mergeCell ref="S3:U3"/>
  </mergeCells>
  <pageMargins left="0.5" right="0.25" top="1" bottom="0.5" header="0.3" footer="0.3"/>
  <pageSetup orientation="landscape" r:id="rId1"/>
  <headerFooter>
    <oddHeader>&amp;L&amp;"-,Bold"&amp;14MUNICIPAL FIRE AND POLICE RETIREMENT SYSTEM OF IOWA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61"/>
  <sheetViews>
    <sheetView workbookViewId="0">
      <pane ySplit="6" topLeftCell="A40" activePane="bottomLeft" state="frozen"/>
      <selection pane="bottomLeft" activeCell="K57" sqref="K57"/>
    </sheetView>
  </sheetViews>
  <sheetFormatPr defaultRowHeight="15" x14ac:dyDescent="0.25"/>
  <cols>
    <col min="1" max="1" width="3.5703125" style="46" bestFit="1" customWidth="1"/>
    <col min="2" max="2" width="15" style="50" bestFit="1" customWidth="1"/>
    <col min="3" max="3" width="10.7109375" style="48" bestFit="1" customWidth="1"/>
    <col min="4" max="4" width="10.7109375" style="49" bestFit="1" customWidth="1"/>
    <col min="5" max="5" width="11.140625" style="49" bestFit="1" customWidth="1"/>
    <col min="6" max="6" width="10.7109375" style="49" bestFit="1" customWidth="1"/>
    <col min="7" max="7" width="9.7109375" style="49" bestFit="1" customWidth="1"/>
    <col min="8" max="9" width="9.85546875" style="49" bestFit="1" customWidth="1"/>
    <col min="10" max="10" width="11.140625" style="49" customWidth="1"/>
    <col min="11" max="11" width="8.7109375" style="50" bestFit="1" customWidth="1"/>
    <col min="12" max="12" width="9.28515625" style="50" bestFit="1" customWidth="1"/>
    <col min="13" max="13" width="9.7109375" style="50" bestFit="1" customWidth="1"/>
    <col min="14" max="14" width="1.7109375" style="50" customWidth="1"/>
    <col min="15" max="15" width="10.7109375" style="50" bestFit="1" customWidth="1"/>
    <col min="16" max="16" width="12.42578125" style="51" bestFit="1" customWidth="1"/>
    <col min="17" max="17" width="9.28515625" style="50" bestFit="1" customWidth="1"/>
    <col min="18" max="18" width="2.7109375" style="50" customWidth="1"/>
    <col min="19" max="19" width="10.7109375" style="50" bestFit="1" customWidth="1"/>
    <col min="20" max="20" width="11.7109375" style="50" customWidth="1"/>
    <col min="21" max="21" width="12.7109375" style="50" bestFit="1" customWidth="1"/>
    <col min="22" max="22" width="2.7109375" style="50" customWidth="1"/>
    <col min="23" max="23" width="12.7109375" style="50" bestFit="1" customWidth="1"/>
    <col min="24" max="24" width="2.7109375" style="50" customWidth="1"/>
    <col min="25" max="25" width="11.140625" style="50" bestFit="1" customWidth="1"/>
  </cols>
  <sheetData>
    <row r="1" spans="1:25" x14ac:dyDescent="0.25">
      <c r="B1" s="47" t="s">
        <v>157</v>
      </c>
      <c r="O1" s="47" t="s">
        <v>158</v>
      </c>
    </row>
    <row r="3" spans="1:25" x14ac:dyDescent="0.25">
      <c r="H3" s="52" t="s">
        <v>78</v>
      </c>
      <c r="K3" s="172" t="s">
        <v>79</v>
      </c>
      <c r="L3" s="172"/>
      <c r="M3" s="172"/>
      <c r="O3" s="171" t="s">
        <v>27</v>
      </c>
      <c r="P3" s="171"/>
      <c r="Q3" s="171"/>
      <c r="S3" s="171" t="s">
        <v>30</v>
      </c>
      <c r="T3" s="171"/>
      <c r="U3" s="171"/>
    </row>
    <row r="4" spans="1:25" x14ac:dyDescent="0.25">
      <c r="C4" s="54">
        <v>41455</v>
      </c>
      <c r="D4" s="54">
        <v>41820</v>
      </c>
      <c r="E4" s="54">
        <v>41455</v>
      </c>
      <c r="G4" s="52" t="s">
        <v>80</v>
      </c>
      <c r="H4" s="52" t="s">
        <v>49</v>
      </c>
      <c r="I4" s="52" t="s">
        <v>49</v>
      </c>
      <c r="J4" s="52" t="s">
        <v>81</v>
      </c>
      <c r="O4" s="52" t="s">
        <v>82</v>
      </c>
      <c r="Q4" s="52" t="s">
        <v>83</v>
      </c>
      <c r="R4" s="52"/>
      <c r="S4" s="52" t="s">
        <v>82</v>
      </c>
      <c r="U4" s="52" t="s">
        <v>83</v>
      </c>
      <c r="V4" s="52"/>
      <c r="W4" s="52" t="s">
        <v>159</v>
      </c>
      <c r="X4" s="52"/>
      <c r="Y4" s="46" t="s">
        <v>84</v>
      </c>
    </row>
    <row r="5" spans="1:25" x14ac:dyDescent="0.25">
      <c r="A5" s="46" t="s">
        <v>154</v>
      </c>
      <c r="C5" s="55" t="s">
        <v>85</v>
      </c>
      <c r="D5" s="55" t="s">
        <v>85</v>
      </c>
      <c r="E5" s="52" t="s">
        <v>86</v>
      </c>
      <c r="F5" s="52" t="s">
        <v>87</v>
      </c>
      <c r="G5" s="52" t="s">
        <v>85</v>
      </c>
      <c r="H5" s="52" t="s">
        <v>88</v>
      </c>
      <c r="I5" s="52" t="s">
        <v>88</v>
      </c>
      <c r="J5" s="52" t="s">
        <v>89</v>
      </c>
      <c r="K5" s="52" t="s">
        <v>90</v>
      </c>
      <c r="L5" s="46" t="s">
        <v>91</v>
      </c>
      <c r="M5" s="46" t="s">
        <v>91</v>
      </c>
      <c r="O5" s="46" t="s">
        <v>92</v>
      </c>
      <c r="P5" s="56" t="s">
        <v>160</v>
      </c>
      <c r="Q5" s="46" t="s">
        <v>92</v>
      </c>
      <c r="R5" s="46"/>
      <c r="S5" s="46" t="s">
        <v>92</v>
      </c>
      <c r="T5" s="52" t="s">
        <v>160</v>
      </c>
      <c r="U5" s="46" t="s">
        <v>92</v>
      </c>
      <c r="V5" s="46"/>
      <c r="W5" s="52" t="s">
        <v>87</v>
      </c>
      <c r="X5" s="52"/>
      <c r="Y5" s="46" t="s">
        <v>90</v>
      </c>
    </row>
    <row r="6" spans="1:25" ht="20.100000000000001" customHeight="1" x14ac:dyDescent="0.35">
      <c r="A6" s="53" t="s">
        <v>155</v>
      </c>
      <c r="B6" s="57" t="s">
        <v>93</v>
      </c>
      <c r="C6" s="58" t="s">
        <v>94</v>
      </c>
      <c r="D6" s="58" t="s">
        <v>94</v>
      </c>
      <c r="E6" s="59" t="s">
        <v>95</v>
      </c>
      <c r="F6" s="60">
        <v>41455</v>
      </c>
      <c r="G6" s="59" t="s">
        <v>96</v>
      </c>
      <c r="H6" s="59" t="s">
        <v>97</v>
      </c>
      <c r="I6" s="59" t="s">
        <v>97</v>
      </c>
      <c r="J6" s="59" t="s">
        <v>98</v>
      </c>
      <c r="K6" s="59" t="s">
        <v>56</v>
      </c>
      <c r="L6" s="59" t="s">
        <v>99</v>
      </c>
      <c r="M6" s="61" t="s">
        <v>100</v>
      </c>
      <c r="O6" s="61" t="s">
        <v>101</v>
      </c>
      <c r="P6" s="62" t="s">
        <v>102</v>
      </c>
      <c r="Q6" s="61" t="s">
        <v>103</v>
      </c>
      <c r="R6" s="61"/>
      <c r="S6" s="61" t="s">
        <v>101</v>
      </c>
      <c r="T6" s="61" t="s">
        <v>102</v>
      </c>
      <c r="U6" s="61" t="s">
        <v>103</v>
      </c>
      <c r="V6" s="61"/>
      <c r="W6" s="60">
        <v>41820</v>
      </c>
      <c r="X6" s="60"/>
      <c r="Y6" s="61" t="s">
        <v>56</v>
      </c>
    </row>
    <row r="7" spans="1:25" ht="20.100000000000001" customHeight="1" x14ac:dyDescent="0.25">
      <c r="A7" s="46">
        <v>101</v>
      </c>
      <c r="B7" s="63" t="s">
        <v>104</v>
      </c>
      <c r="C7" s="48">
        <v>2.6912900999999999E-2</v>
      </c>
      <c r="D7" s="48">
        <v>2.6844061590719944E-2</v>
      </c>
      <c r="E7" s="64">
        <f t="shared" ref="E7:E23" si="0">ROUND(C7*$F$57,0)</f>
        <v>14908723</v>
      </c>
      <c r="F7" s="65">
        <v>14870589</v>
      </c>
      <c r="G7" s="65">
        <f t="shared" ref="G7:G55" si="1">F7-E7</f>
        <v>-38134</v>
      </c>
      <c r="H7" s="65">
        <f>ROUND(D7*76917460,0)</f>
        <v>2064777</v>
      </c>
      <c r="I7" s="65">
        <v>2064777</v>
      </c>
      <c r="J7" s="65">
        <f>H7-I7</f>
        <v>0</v>
      </c>
      <c r="K7" s="51">
        <f t="shared" ref="K7:K23" si="2">ROUND((G7+J7)/5.6,0)</f>
        <v>-6810</v>
      </c>
      <c r="L7" s="66">
        <f t="shared" ref="L7:L55" si="3">IF(K7&lt;0,0,G7+J7-K7)</f>
        <v>0</v>
      </c>
      <c r="M7" s="51">
        <f t="shared" ref="M7:M55" si="4">IF(G7&lt;0,(G7+J7-K7),0)</f>
        <v>-31324</v>
      </c>
      <c r="O7" s="51">
        <v>0</v>
      </c>
      <c r="P7" s="65">
        <v>719213</v>
      </c>
      <c r="Q7" s="51">
        <v>0</v>
      </c>
      <c r="S7" s="65">
        <v>-27540</v>
      </c>
      <c r="T7" s="51">
        <v>0</v>
      </c>
      <c r="U7" s="65">
        <v>-4574238</v>
      </c>
      <c r="W7" s="65">
        <v>9730925</v>
      </c>
      <c r="X7" s="65"/>
      <c r="Y7" s="65">
        <v>807679</v>
      </c>
    </row>
    <row r="8" spans="1:25" ht="20.100000000000001" customHeight="1" x14ac:dyDescent="0.25">
      <c r="A8" s="46">
        <v>102</v>
      </c>
      <c r="B8" s="63" t="s">
        <v>105</v>
      </c>
      <c r="C8" s="48">
        <v>1.5931008E-2</v>
      </c>
      <c r="D8" s="48">
        <v>1.6611833750079456E-2</v>
      </c>
      <c r="E8" s="64">
        <f t="shared" si="0"/>
        <v>8825172</v>
      </c>
      <c r="F8" s="65">
        <v>9202324</v>
      </c>
      <c r="G8" s="65">
        <f t="shared" si="1"/>
        <v>377152</v>
      </c>
      <c r="H8" s="65">
        <f t="shared" ref="H8:H55" si="5">ROUND(D8*76917460,0)</f>
        <v>1277740</v>
      </c>
      <c r="I8" s="65">
        <v>1277740</v>
      </c>
      <c r="J8" s="65">
        <f t="shared" ref="J8:J55" si="6">H8-I8</f>
        <v>0</v>
      </c>
      <c r="K8" s="51">
        <f t="shared" si="2"/>
        <v>67349</v>
      </c>
      <c r="L8" s="51">
        <f t="shared" si="3"/>
        <v>309803</v>
      </c>
      <c r="M8" s="51">
        <f t="shared" si="4"/>
        <v>0</v>
      </c>
      <c r="O8" s="51">
        <v>0</v>
      </c>
      <c r="P8" s="65">
        <v>445069</v>
      </c>
      <c r="Q8" s="51">
        <v>0</v>
      </c>
      <c r="S8" s="65">
        <v>-17042</v>
      </c>
      <c r="T8" s="51">
        <v>0</v>
      </c>
      <c r="U8" s="65">
        <v>-2830663</v>
      </c>
      <c r="W8" s="65">
        <v>6021760</v>
      </c>
      <c r="X8" s="65"/>
      <c r="Y8" s="65">
        <v>499813</v>
      </c>
    </row>
    <row r="9" spans="1:25" ht="20.100000000000001" customHeight="1" x14ac:dyDescent="0.25">
      <c r="A9" s="46">
        <v>103</v>
      </c>
      <c r="B9" s="63" t="s">
        <v>106</v>
      </c>
      <c r="C9" s="48">
        <v>1.8911649999999999E-2</v>
      </c>
      <c r="D9" s="48">
        <v>1.874664098100411E-2</v>
      </c>
      <c r="E9" s="64">
        <f t="shared" si="0"/>
        <v>10476335</v>
      </c>
      <c r="F9" s="65">
        <v>10384926</v>
      </c>
      <c r="G9" s="65">
        <f t="shared" si="1"/>
        <v>-91409</v>
      </c>
      <c r="H9" s="65">
        <f t="shared" si="5"/>
        <v>1441944</v>
      </c>
      <c r="I9" s="65">
        <v>1441944</v>
      </c>
      <c r="J9" s="65">
        <f t="shared" si="6"/>
        <v>0</v>
      </c>
      <c r="K9" s="51">
        <f t="shared" si="2"/>
        <v>-16323</v>
      </c>
      <c r="L9" s="51">
        <f t="shared" si="3"/>
        <v>0</v>
      </c>
      <c r="M9" s="51">
        <f t="shared" si="4"/>
        <v>-75086</v>
      </c>
      <c r="O9" s="51">
        <v>0</v>
      </c>
      <c r="P9" s="65">
        <v>502265</v>
      </c>
      <c r="Q9" s="51">
        <v>0</v>
      </c>
      <c r="S9" s="65">
        <v>-19232</v>
      </c>
      <c r="T9" s="51">
        <v>0</v>
      </c>
      <c r="U9" s="65">
        <v>-3194436</v>
      </c>
      <c r="W9" s="65">
        <v>6795625</v>
      </c>
      <c r="X9" s="65"/>
      <c r="Y9" s="65">
        <v>564046</v>
      </c>
    </row>
    <row r="10" spans="1:25" ht="20.100000000000001" customHeight="1" x14ac:dyDescent="0.25">
      <c r="A10" s="46">
        <v>104</v>
      </c>
      <c r="B10" s="63" t="s">
        <v>107</v>
      </c>
      <c r="C10" s="48">
        <v>5.7501169999999999E-3</v>
      </c>
      <c r="D10" s="48">
        <v>5.8176918757784522E-3</v>
      </c>
      <c r="E10" s="64">
        <f t="shared" si="0"/>
        <v>3185346</v>
      </c>
      <c r="F10" s="65">
        <v>3222780</v>
      </c>
      <c r="G10" s="65">
        <f t="shared" si="1"/>
        <v>37434</v>
      </c>
      <c r="H10" s="65">
        <f t="shared" si="5"/>
        <v>447482</v>
      </c>
      <c r="I10" s="65">
        <v>447482</v>
      </c>
      <c r="J10" s="65">
        <f t="shared" si="6"/>
        <v>0</v>
      </c>
      <c r="K10" s="51">
        <f t="shared" si="2"/>
        <v>6685</v>
      </c>
      <c r="L10" s="51">
        <f t="shared" si="3"/>
        <v>30749</v>
      </c>
      <c r="M10" s="51">
        <f t="shared" si="4"/>
        <v>0</v>
      </c>
      <c r="O10" s="51">
        <v>0</v>
      </c>
      <c r="P10" s="65">
        <v>155869</v>
      </c>
      <c r="Q10" s="51">
        <v>0</v>
      </c>
      <c r="S10" s="65">
        <v>-5968</v>
      </c>
      <c r="T10" s="51">
        <v>0</v>
      </c>
      <c r="U10" s="65">
        <v>-991337</v>
      </c>
      <c r="W10" s="65">
        <v>2108903</v>
      </c>
      <c r="X10" s="65"/>
      <c r="Y10" s="65">
        <v>175042</v>
      </c>
    </row>
    <row r="11" spans="1:25" ht="20.100000000000001" customHeight="1" x14ac:dyDescent="0.25">
      <c r="A11" s="46">
        <v>105</v>
      </c>
      <c r="B11" s="63" t="s">
        <v>108</v>
      </c>
      <c r="C11" s="48">
        <v>1.8864233000000001E-2</v>
      </c>
      <c r="D11" s="48">
        <v>1.8017704648857651E-2</v>
      </c>
      <c r="E11" s="64">
        <f t="shared" si="0"/>
        <v>10450068</v>
      </c>
      <c r="F11" s="65">
        <v>9981123</v>
      </c>
      <c r="G11" s="65">
        <f t="shared" si="1"/>
        <v>-468945</v>
      </c>
      <c r="H11" s="65">
        <f t="shared" si="5"/>
        <v>1385876</v>
      </c>
      <c r="I11" s="65">
        <v>1385876</v>
      </c>
      <c r="J11" s="65">
        <f t="shared" si="6"/>
        <v>0</v>
      </c>
      <c r="K11" s="51">
        <f t="shared" si="2"/>
        <v>-83740</v>
      </c>
      <c r="L11" s="51">
        <f t="shared" si="3"/>
        <v>0</v>
      </c>
      <c r="M11" s="51">
        <f t="shared" si="4"/>
        <v>-385205</v>
      </c>
      <c r="O11" s="51">
        <v>0</v>
      </c>
      <c r="P11" s="65">
        <v>482735</v>
      </c>
      <c r="Q11" s="51">
        <v>0</v>
      </c>
      <c r="S11" s="65">
        <v>-18485</v>
      </c>
      <c r="T11" s="51">
        <v>0</v>
      </c>
      <c r="U11" s="65">
        <v>-3070224</v>
      </c>
      <c r="W11" s="65">
        <v>6531386</v>
      </c>
      <c r="X11" s="65"/>
      <c r="Y11" s="65">
        <v>542114</v>
      </c>
    </row>
    <row r="12" spans="1:25" ht="20.100000000000001" customHeight="1" x14ac:dyDescent="0.25">
      <c r="A12" s="46">
        <v>106</v>
      </c>
      <c r="B12" s="63" t="s">
        <v>109</v>
      </c>
      <c r="C12" s="48">
        <v>2.4599410000000002E-3</v>
      </c>
      <c r="D12" s="48">
        <v>2.5757743319130173E-3</v>
      </c>
      <c r="E12" s="64">
        <f t="shared" si="0"/>
        <v>1362714</v>
      </c>
      <c r="F12" s="65">
        <v>1426881</v>
      </c>
      <c r="G12" s="65">
        <f t="shared" si="1"/>
        <v>64167</v>
      </c>
      <c r="H12" s="65">
        <f t="shared" si="5"/>
        <v>198122</v>
      </c>
      <c r="I12" s="65">
        <v>198122</v>
      </c>
      <c r="J12" s="65">
        <f t="shared" si="6"/>
        <v>0</v>
      </c>
      <c r="K12" s="51">
        <f t="shared" si="2"/>
        <v>11458</v>
      </c>
      <c r="L12" s="51">
        <f t="shared" si="3"/>
        <v>52709</v>
      </c>
      <c r="M12" s="51">
        <f t="shared" si="4"/>
        <v>0</v>
      </c>
      <c r="O12" s="51">
        <v>0</v>
      </c>
      <c r="P12" s="65">
        <v>69011</v>
      </c>
      <c r="Q12" s="51">
        <v>0</v>
      </c>
      <c r="S12" s="65">
        <v>-2643</v>
      </c>
      <c r="T12" s="51">
        <v>0</v>
      </c>
      <c r="U12" s="65">
        <v>-438913</v>
      </c>
      <c r="W12" s="65">
        <v>933714</v>
      </c>
      <c r="X12" s="65"/>
      <c r="Y12" s="65">
        <v>77499</v>
      </c>
    </row>
    <row r="13" spans="1:25" ht="20.100000000000001" customHeight="1" x14ac:dyDescent="0.25">
      <c r="A13" s="46">
        <v>107</v>
      </c>
      <c r="B13" s="63" t="s">
        <v>110</v>
      </c>
      <c r="C13" s="48">
        <v>2.790233E-3</v>
      </c>
      <c r="D13" s="48">
        <v>2.7818787362549609E-3</v>
      </c>
      <c r="E13" s="64">
        <f t="shared" si="0"/>
        <v>1545683</v>
      </c>
      <c r="F13" s="65">
        <v>1541055</v>
      </c>
      <c r="G13" s="65">
        <f t="shared" si="1"/>
        <v>-4628</v>
      </c>
      <c r="H13" s="65">
        <f t="shared" si="5"/>
        <v>213975</v>
      </c>
      <c r="I13" s="65">
        <v>213975</v>
      </c>
      <c r="J13" s="65">
        <f t="shared" si="6"/>
        <v>0</v>
      </c>
      <c r="K13" s="51">
        <f t="shared" si="2"/>
        <v>-826</v>
      </c>
      <c r="L13" s="51">
        <f t="shared" si="3"/>
        <v>0</v>
      </c>
      <c r="M13" s="51">
        <f t="shared" si="4"/>
        <v>-3802</v>
      </c>
      <c r="O13" s="51">
        <v>0</v>
      </c>
      <c r="P13" s="65">
        <v>74533</v>
      </c>
      <c r="Q13" s="51">
        <v>0</v>
      </c>
      <c r="S13" s="65">
        <v>-2854</v>
      </c>
      <c r="T13" s="51">
        <v>0</v>
      </c>
      <c r="U13" s="65">
        <v>-474033</v>
      </c>
      <c r="W13" s="65">
        <v>1008426</v>
      </c>
      <c r="X13" s="65"/>
      <c r="Y13" s="65">
        <v>83701</v>
      </c>
    </row>
    <row r="14" spans="1:25" ht="20.100000000000001" customHeight="1" x14ac:dyDescent="0.25">
      <c r="A14" s="46">
        <v>108</v>
      </c>
      <c r="B14" s="63" t="s">
        <v>111</v>
      </c>
      <c r="C14" s="48">
        <v>1.7520208999999998E-2</v>
      </c>
      <c r="D14" s="48">
        <v>1.7827707848698297E-2</v>
      </c>
      <c r="E14" s="64">
        <f t="shared" si="0"/>
        <v>9705529</v>
      </c>
      <c r="F14" s="65">
        <v>9875872</v>
      </c>
      <c r="G14" s="65">
        <f t="shared" si="1"/>
        <v>170343</v>
      </c>
      <c r="H14" s="65">
        <f t="shared" si="5"/>
        <v>1371262</v>
      </c>
      <c r="I14" s="65">
        <v>1371262</v>
      </c>
      <c r="J14" s="65">
        <f t="shared" si="6"/>
        <v>0</v>
      </c>
      <c r="K14" s="51">
        <f t="shared" si="2"/>
        <v>30418</v>
      </c>
      <c r="L14" s="51">
        <f t="shared" si="3"/>
        <v>139925</v>
      </c>
      <c r="M14" s="51">
        <f t="shared" si="4"/>
        <v>0</v>
      </c>
      <c r="O14" s="51">
        <v>0</v>
      </c>
      <c r="P14" s="65">
        <v>477644</v>
      </c>
      <c r="Q14" s="51">
        <v>0</v>
      </c>
      <c r="S14" s="65">
        <v>-18290</v>
      </c>
      <c r="T14" s="51">
        <v>0</v>
      </c>
      <c r="U14" s="65">
        <v>-3037849</v>
      </c>
      <c r="W14" s="65">
        <v>6462513</v>
      </c>
      <c r="X14" s="65"/>
      <c r="Y14" s="65">
        <v>536397</v>
      </c>
    </row>
    <row r="15" spans="1:25" ht="20.100000000000001" customHeight="1" x14ac:dyDescent="0.25">
      <c r="A15" s="46">
        <v>109</v>
      </c>
      <c r="B15" s="63" t="s">
        <v>112</v>
      </c>
      <c r="C15" s="48">
        <v>9.2094375000000006E-2</v>
      </c>
      <c r="D15" s="48">
        <v>9.3012964115779778E-2</v>
      </c>
      <c r="E15" s="64">
        <f t="shared" si="0"/>
        <v>51016781</v>
      </c>
      <c r="F15" s="65">
        <v>51525644</v>
      </c>
      <c r="G15" s="65">
        <f t="shared" si="1"/>
        <v>508863</v>
      </c>
      <c r="H15" s="65">
        <f t="shared" si="5"/>
        <v>7154321</v>
      </c>
      <c r="I15" s="65">
        <v>7154321</v>
      </c>
      <c r="J15" s="65">
        <f t="shared" si="6"/>
        <v>0</v>
      </c>
      <c r="K15" s="51">
        <f t="shared" si="2"/>
        <v>90868</v>
      </c>
      <c r="L15" s="51">
        <f t="shared" si="3"/>
        <v>417995</v>
      </c>
      <c r="M15" s="51">
        <f t="shared" si="4"/>
        <v>0</v>
      </c>
      <c r="O15" s="51">
        <v>0</v>
      </c>
      <c r="P15" s="65">
        <v>2492027</v>
      </c>
      <c r="Q15" s="51">
        <v>0</v>
      </c>
      <c r="S15" s="65">
        <v>-95423</v>
      </c>
      <c r="T15" s="51">
        <v>0</v>
      </c>
      <c r="U15" s="65">
        <v>-15849448</v>
      </c>
      <c r="W15" s="65">
        <v>33717037</v>
      </c>
      <c r="X15" s="65"/>
      <c r="Y15" s="65">
        <v>2798558</v>
      </c>
    </row>
    <row r="16" spans="1:25" ht="20.100000000000001" customHeight="1" x14ac:dyDescent="0.25">
      <c r="A16" s="46">
        <v>110</v>
      </c>
      <c r="B16" s="63" t="s">
        <v>113</v>
      </c>
      <c r="C16" s="48">
        <v>2.434659E-3</v>
      </c>
      <c r="D16" s="48">
        <v>2.4090498878135062E-3</v>
      </c>
      <c r="E16" s="64">
        <f t="shared" si="0"/>
        <v>1348708</v>
      </c>
      <c r="F16" s="65">
        <v>1334522</v>
      </c>
      <c r="G16" s="65">
        <f t="shared" si="1"/>
        <v>-14186</v>
      </c>
      <c r="H16" s="65">
        <f t="shared" si="5"/>
        <v>185298</v>
      </c>
      <c r="I16" s="65">
        <v>185298</v>
      </c>
      <c r="J16" s="65">
        <f t="shared" si="6"/>
        <v>0</v>
      </c>
      <c r="K16" s="51">
        <f t="shared" si="2"/>
        <v>-2533</v>
      </c>
      <c r="L16" s="51">
        <f t="shared" si="3"/>
        <v>0</v>
      </c>
      <c r="M16" s="51">
        <f t="shared" si="4"/>
        <v>-11653</v>
      </c>
      <c r="O16" s="51">
        <v>0</v>
      </c>
      <c r="P16" s="65">
        <v>64544</v>
      </c>
      <c r="Q16" s="51">
        <v>0</v>
      </c>
      <c r="S16" s="65">
        <v>-2471</v>
      </c>
      <c r="T16" s="51">
        <v>0</v>
      </c>
      <c r="U16" s="65">
        <v>-410503</v>
      </c>
      <c r="W16" s="65">
        <v>873276</v>
      </c>
      <c r="X16" s="65"/>
      <c r="Y16" s="65">
        <v>72483</v>
      </c>
    </row>
    <row r="17" spans="1:25" ht="20.100000000000001" customHeight="1" x14ac:dyDescent="0.25">
      <c r="A17" s="46">
        <v>111</v>
      </c>
      <c r="B17" s="63" t="s">
        <v>114</v>
      </c>
      <c r="C17" s="48">
        <v>4.0701390000000004E-3</v>
      </c>
      <c r="D17" s="48">
        <v>2.9419456835232051E-3</v>
      </c>
      <c r="E17" s="64">
        <f t="shared" si="0"/>
        <v>2254702</v>
      </c>
      <c r="F17" s="65">
        <v>1629726</v>
      </c>
      <c r="G17" s="65">
        <f t="shared" si="1"/>
        <v>-624976</v>
      </c>
      <c r="H17" s="65">
        <f t="shared" si="5"/>
        <v>226287</v>
      </c>
      <c r="I17" s="65">
        <v>226287</v>
      </c>
      <c r="J17" s="65">
        <f t="shared" si="6"/>
        <v>0</v>
      </c>
      <c r="K17" s="51">
        <f t="shared" si="2"/>
        <v>-111603</v>
      </c>
      <c r="L17" s="51">
        <f t="shared" si="3"/>
        <v>0</v>
      </c>
      <c r="M17" s="51">
        <f t="shared" si="4"/>
        <v>-513373</v>
      </c>
      <c r="O17" s="51">
        <v>0</v>
      </c>
      <c r="P17" s="65">
        <v>78821</v>
      </c>
      <c r="Q17" s="51">
        <v>0</v>
      </c>
      <c r="S17" s="65">
        <v>-3018</v>
      </c>
      <c r="T17" s="51">
        <v>0</v>
      </c>
      <c r="U17" s="65">
        <v>-501309</v>
      </c>
      <c r="W17" s="65">
        <v>1066450</v>
      </c>
      <c r="X17" s="65"/>
      <c r="Y17" s="65">
        <v>88517</v>
      </c>
    </row>
    <row r="18" spans="1:25" ht="20.100000000000001" customHeight="1" x14ac:dyDescent="0.25">
      <c r="A18" s="46">
        <v>112</v>
      </c>
      <c r="B18" s="63" t="s">
        <v>115</v>
      </c>
      <c r="C18" s="48">
        <v>1.9452618000000001E-2</v>
      </c>
      <c r="D18" s="48">
        <v>1.9699636018870977E-2</v>
      </c>
      <c r="E18" s="64">
        <f t="shared" si="0"/>
        <v>10776010</v>
      </c>
      <c r="F18" s="65">
        <v>10912849</v>
      </c>
      <c r="G18" s="65">
        <f t="shared" si="1"/>
        <v>136839</v>
      </c>
      <c r="H18" s="65">
        <f t="shared" si="5"/>
        <v>1515246</v>
      </c>
      <c r="I18" s="65">
        <v>1515246</v>
      </c>
      <c r="J18" s="65">
        <f t="shared" si="6"/>
        <v>0</v>
      </c>
      <c r="K18" s="51">
        <f t="shared" si="2"/>
        <v>24436</v>
      </c>
      <c r="L18" s="51">
        <f t="shared" si="3"/>
        <v>112403</v>
      </c>
      <c r="M18" s="51">
        <f t="shared" si="4"/>
        <v>0</v>
      </c>
      <c r="O18" s="51">
        <v>0</v>
      </c>
      <c r="P18" s="65">
        <v>527798</v>
      </c>
      <c r="Q18" s="51">
        <v>0</v>
      </c>
      <c r="S18" s="65">
        <v>-20210</v>
      </c>
      <c r="T18" s="51">
        <v>0</v>
      </c>
      <c r="U18" s="65">
        <v>-3356826</v>
      </c>
      <c r="W18" s="65">
        <v>7141084</v>
      </c>
      <c r="X18" s="65"/>
      <c r="Y18" s="65">
        <v>592719</v>
      </c>
    </row>
    <row r="19" spans="1:25" ht="20.100000000000001" customHeight="1" x14ac:dyDescent="0.25">
      <c r="A19" s="46">
        <v>113</v>
      </c>
      <c r="B19" s="63" t="s">
        <v>116</v>
      </c>
      <c r="C19" s="48">
        <v>6.1069180000000002E-3</v>
      </c>
      <c r="D19" s="48">
        <v>6.0032407171004293E-3</v>
      </c>
      <c r="E19" s="64">
        <f t="shared" si="0"/>
        <v>3383000</v>
      </c>
      <c r="F19" s="65">
        <v>3325567</v>
      </c>
      <c r="G19" s="65">
        <f t="shared" si="1"/>
        <v>-57433</v>
      </c>
      <c r="H19" s="65">
        <f t="shared" si="5"/>
        <v>461754</v>
      </c>
      <c r="I19" s="65">
        <v>461754</v>
      </c>
      <c r="J19" s="65">
        <f t="shared" si="6"/>
        <v>0</v>
      </c>
      <c r="K19" s="51">
        <f t="shared" si="2"/>
        <v>-10256</v>
      </c>
      <c r="L19" s="51">
        <f t="shared" si="3"/>
        <v>0</v>
      </c>
      <c r="M19" s="51">
        <f t="shared" si="4"/>
        <v>-47177</v>
      </c>
      <c r="O19" s="51">
        <v>0</v>
      </c>
      <c r="P19" s="65">
        <v>160840</v>
      </c>
      <c r="Q19" s="51">
        <v>0</v>
      </c>
      <c r="S19" s="65">
        <v>-6159</v>
      </c>
      <c r="T19" s="51">
        <v>0</v>
      </c>
      <c r="U19" s="65">
        <v>-1022955</v>
      </c>
      <c r="W19" s="65">
        <v>2176164</v>
      </c>
      <c r="X19" s="65"/>
      <c r="Y19" s="65">
        <v>180624</v>
      </c>
    </row>
    <row r="20" spans="1:25" ht="20.100000000000001" customHeight="1" x14ac:dyDescent="0.25">
      <c r="A20" s="46">
        <v>114</v>
      </c>
      <c r="B20" s="63" t="s">
        <v>117</v>
      </c>
      <c r="C20" s="48">
        <v>5.7954240999999997E-2</v>
      </c>
      <c r="D20" s="48">
        <v>5.8249479696675419E-2</v>
      </c>
      <c r="E20" s="64">
        <f t="shared" si="0"/>
        <v>32104445</v>
      </c>
      <c r="F20" s="65">
        <v>32267996</v>
      </c>
      <c r="G20" s="65">
        <f t="shared" si="1"/>
        <v>163551</v>
      </c>
      <c r="H20" s="65">
        <f t="shared" si="5"/>
        <v>4480402</v>
      </c>
      <c r="I20" s="65">
        <v>4480402</v>
      </c>
      <c r="J20" s="65">
        <f t="shared" si="6"/>
        <v>0</v>
      </c>
      <c r="K20" s="51">
        <f t="shared" si="2"/>
        <v>29206</v>
      </c>
      <c r="L20" s="51">
        <f t="shared" si="3"/>
        <v>134345</v>
      </c>
      <c r="M20" s="51">
        <f t="shared" si="4"/>
        <v>0</v>
      </c>
      <c r="O20" s="51">
        <v>0</v>
      </c>
      <c r="P20" s="65">
        <v>1560635</v>
      </c>
      <c r="Q20" s="51">
        <v>0</v>
      </c>
      <c r="S20" s="65">
        <v>-59759</v>
      </c>
      <c r="T20" s="51">
        <v>0</v>
      </c>
      <c r="U20" s="65">
        <v>-9925736</v>
      </c>
      <c r="W20" s="65">
        <v>21115335</v>
      </c>
      <c r="X20" s="65"/>
      <c r="Y20" s="65">
        <v>1752600</v>
      </c>
    </row>
    <row r="21" spans="1:25" ht="20.100000000000001" customHeight="1" x14ac:dyDescent="0.25">
      <c r="A21" s="46">
        <v>115</v>
      </c>
      <c r="B21" s="63" t="s">
        <v>118</v>
      </c>
      <c r="C21" s="48">
        <v>2.962629E-3</v>
      </c>
      <c r="D21" s="48">
        <v>2.8823874424836185E-3</v>
      </c>
      <c r="E21" s="64">
        <f t="shared" si="0"/>
        <v>1641184</v>
      </c>
      <c r="F21" s="65">
        <v>1596733</v>
      </c>
      <c r="G21" s="65">
        <f t="shared" si="1"/>
        <v>-44451</v>
      </c>
      <c r="H21" s="65">
        <f t="shared" si="5"/>
        <v>221706</v>
      </c>
      <c r="I21" s="65">
        <v>221706</v>
      </c>
      <c r="J21" s="65">
        <f t="shared" si="6"/>
        <v>0</v>
      </c>
      <c r="K21" s="51">
        <f t="shared" si="2"/>
        <v>-7938</v>
      </c>
      <c r="L21" s="51">
        <f t="shared" si="3"/>
        <v>0</v>
      </c>
      <c r="M21" s="51">
        <f t="shared" si="4"/>
        <v>-36513</v>
      </c>
      <c r="O21" s="51">
        <v>0</v>
      </c>
      <c r="P21" s="65">
        <v>77226</v>
      </c>
      <c r="Q21" s="51">
        <v>0</v>
      </c>
      <c r="S21" s="65">
        <v>-2957</v>
      </c>
      <c r="T21" s="51">
        <v>0</v>
      </c>
      <c r="U21" s="65">
        <v>-491160</v>
      </c>
      <c r="W21" s="65">
        <v>1044861</v>
      </c>
      <c r="X21" s="65"/>
      <c r="Y21" s="65">
        <v>86725</v>
      </c>
    </row>
    <row r="22" spans="1:25" ht="20.100000000000001" customHeight="1" x14ac:dyDescent="0.25">
      <c r="A22" s="46">
        <v>116</v>
      </c>
      <c r="B22" s="63" t="s">
        <v>119</v>
      </c>
      <c r="C22" s="48">
        <v>8.1588112000000004E-2</v>
      </c>
      <c r="D22" s="48">
        <v>8.2312779956384044E-2</v>
      </c>
      <c r="E22" s="64">
        <f t="shared" si="0"/>
        <v>45196711</v>
      </c>
      <c r="F22" s="65">
        <v>45598149</v>
      </c>
      <c r="G22" s="65">
        <f t="shared" si="1"/>
        <v>401438</v>
      </c>
      <c r="H22" s="65">
        <f t="shared" si="5"/>
        <v>6331290</v>
      </c>
      <c r="I22" s="65">
        <v>6331290</v>
      </c>
      <c r="J22" s="65">
        <f t="shared" si="6"/>
        <v>0</v>
      </c>
      <c r="K22" s="51">
        <f t="shared" si="2"/>
        <v>71685</v>
      </c>
      <c r="L22" s="51">
        <f t="shared" si="3"/>
        <v>329753</v>
      </c>
      <c r="M22" s="51">
        <f t="shared" si="4"/>
        <v>0</v>
      </c>
      <c r="O22" s="51">
        <v>0</v>
      </c>
      <c r="P22" s="65">
        <v>2205346</v>
      </c>
      <c r="Q22" s="51">
        <v>0</v>
      </c>
      <c r="S22" s="65">
        <v>-84446</v>
      </c>
      <c r="T22" s="51">
        <v>0</v>
      </c>
      <c r="U22" s="65">
        <v>-14026133</v>
      </c>
      <c r="W22" s="65">
        <v>29838239</v>
      </c>
      <c r="X22" s="65"/>
      <c r="Y22" s="65">
        <v>2476613</v>
      </c>
    </row>
    <row r="23" spans="1:25" ht="20.100000000000001" customHeight="1" x14ac:dyDescent="0.25">
      <c r="A23" s="46">
        <v>117</v>
      </c>
      <c r="B23" s="63" t="s">
        <v>120</v>
      </c>
      <c r="C23" s="48">
        <v>2.882234E-3</v>
      </c>
      <c r="D23" s="48">
        <v>2.8941409570900122E-3</v>
      </c>
      <c r="E23" s="64">
        <f t="shared" si="0"/>
        <v>1596648</v>
      </c>
      <c r="F23" s="65">
        <v>1603244</v>
      </c>
      <c r="G23" s="65">
        <f t="shared" si="1"/>
        <v>6596</v>
      </c>
      <c r="H23" s="65">
        <f t="shared" si="5"/>
        <v>222610</v>
      </c>
      <c r="I23" s="65">
        <v>222610</v>
      </c>
      <c r="J23" s="65">
        <f t="shared" si="6"/>
        <v>0</v>
      </c>
      <c r="K23" s="51">
        <f t="shared" si="2"/>
        <v>1178</v>
      </c>
      <c r="L23" s="51">
        <f t="shared" si="3"/>
        <v>5418</v>
      </c>
      <c r="M23" s="51">
        <f t="shared" si="4"/>
        <v>0</v>
      </c>
      <c r="O23" s="51">
        <v>0</v>
      </c>
      <c r="P23" s="65">
        <v>77540</v>
      </c>
      <c r="Q23" s="51">
        <v>0</v>
      </c>
      <c r="S23" s="65">
        <v>-2969</v>
      </c>
      <c r="T23" s="51">
        <v>0</v>
      </c>
      <c r="U23" s="65">
        <v>-493163</v>
      </c>
      <c r="W23" s="65">
        <v>1049121</v>
      </c>
      <c r="X23" s="65"/>
      <c r="Y23" s="65">
        <v>87078</v>
      </c>
    </row>
    <row r="24" spans="1:25" ht="20.100000000000001" customHeight="1" x14ac:dyDescent="0.25">
      <c r="A24" s="46">
        <v>118</v>
      </c>
      <c r="B24" s="63" t="s">
        <v>121</v>
      </c>
      <c r="C24" s="48">
        <v>0.184222267</v>
      </c>
      <c r="D24" s="48">
        <v>0.1820457921297596</v>
      </c>
      <c r="E24" s="64">
        <f>ROUND(C24*$F$57,0)+1</f>
        <v>102052129</v>
      </c>
      <c r="F24" s="65">
        <v>100846444</v>
      </c>
      <c r="G24" s="65">
        <f t="shared" si="1"/>
        <v>-1205685</v>
      </c>
      <c r="H24" s="65">
        <f t="shared" si="5"/>
        <v>14002500</v>
      </c>
      <c r="I24" s="65">
        <v>14002500</v>
      </c>
      <c r="J24" s="65">
        <f t="shared" si="6"/>
        <v>0</v>
      </c>
      <c r="K24" s="51">
        <f>ROUND((G24+J24)/5.6,0)+1</f>
        <v>-215300</v>
      </c>
      <c r="L24" s="51">
        <f t="shared" si="3"/>
        <v>0</v>
      </c>
      <c r="M24" s="51">
        <f t="shared" si="4"/>
        <v>-990385</v>
      </c>
      <c r="O24" s="51">
        <v>0</v>
      </c>
      <c r="P24" s="65">
        <v>4877419</v>
      </c>
      <c r="Q24" s="51">
        <v>0</v>
      </c>
      <c r="S24" s="65">
        <v>-186764</v>
      </c>
      <c r="T24" s="51">
        <v>0</v>
      </c>
      <c r="U24" s="65">
        <v>-31020680</v>
      </c>
      <c r="W24" s="65">
        <v>65991282</v>
      </c>
      <c r="X24" s="65"/>
      <c r="Y24" s="65">
        <v>5477363</v>
      </c>
    </row>
    <row r="25" spans="1:25" ht="20.100000000000001" customHeight="1" x14ac:dyDescent="0.25">
      <c r="A25" s="46">
        <v>119</v>
      </c>
      <c r="B25" s="63" t="s">
        <v>122</v>
      </c>
      <c r="C25" s="48">
        <v>2.198906E-3</v>
      </c>
      <c r="D25" s="48">
        <v>2.0695428219122793E-3</v>
      </c>
      <c r="E25" s="64">
        <f t="shared" ref="E25:E55" si="7">ROUND(C25*$F$57,0)</f>
        <v>1218110</v>
      </c>
      <c r="F25" s="65">
        <v>1146448</v>
      </c>
      <c r="G25" s="65">
        <f t="shared" si="1"/>
        <v>-71662</v>
      </c>
      <c r="H25" s="65">
        <f t="shared" si="5"/>
        <v>159184</v>
      </c>
      <c r="I25" s="65">
        <v>159184</v>
      </c>
      <c r="J25" s="65">
        <f t="shared" si="6"/>
        <v>0</v>
      </c>
      <c r="K25" s="51">
        <f t="shared" ref="K25:K55" si="8">ROUND((G25+J25)/5.6,0)</f>
        <v>-12797</v>
      </c>
      <c r="L25" s="51">
        <f t="shared" si="3"/>
        <v>0</v>
      </c>
      <c r="M25" s="51">
        <f t="shared" si="4"/>
        <v>-58865</v>
      </c>
      <c r="O25" s="51">
        <v>0</v>
      </c>
      <c r="P25" s="65">
        <v>55448</v>
      </c>
      <c r="Q25" s="51">
        <v>0</v>
      </c>
      <c r="S25" s="65">
        <v>-2123</v>
      </c>
      <c r="T25" s="51">
        <v>0</v>
      </c>
      <c r="U25" s="65">
        <v>-352651</v>
      </c>
      <c r="W25" s="65">
        <v>750206</v>
      </c>
      <c r="X25" s="65"/>
      <c r="Y25" s="65">
        <v>62268</v>
      </c>
    </row>
    <row r="26" spans="1:25" ht="20.100000000000001" customHeight="1" x14ac:dyDescent="0.25">
      <c r="A26" s="46">
        <v>120</v>
      </c>
      <c r="B26" s="63" t="s">
        <v>123</v>
      </c>
      <c r="C26" s="48">
        <v>5.1047094000000001E-2</v>
      </c>
      <c r="D26" s="48">
        <v>5.0788001669305957E-2</v>
      </c>
      <c r="E26" s="64">
        <f t="shared" si="7"/>
        <v>28278148</v>
      </c>
      <c r="F26" s="65">
        <v>28134621</v>
      </c>
      <c r="G26" s="65">
        <f t="shared" si="1"/>
        <v>-143527</v>
      </c>
      <c r="H26" s="65">
        <f t="shared" si="5"/>
        <v>3906484</v>
      </c>
      <c r="I26" s="65">
        <v>3906484</v>
      </c>
      <c r="J26" s="65">
        <f t="shared" si="6"/>
        <v>0</v>
      </c>
      <c r="K26" s="51">
        <f t="shared" si="8"/>
        <v>-25630</v>
      </c>
      <c r="L26" s="51">
        <f t="shared" si="3"/>
        <v>0</v>
      </c>
      <c r="M26" s="51">
        <f t="shared" si="4"/>
        <v>-117897</v>
      </c>
      <c r="O26" s="51">
        <v>0</v>
      </c>
      <c r="P26" s="65">
        <v>1360725</v>
      </c>
      <c r="Q26" s="51">
        <v>0</v>
      </c>
      <c r="S26" s="65">
        <v>-52104</v>
      </c>
      <c r="T26" s="51">
        <v>0</v>
      </c>
      <c r="U26" s="65">
        <v>-8654297</v>
      </c>
      <c r="W26" s="65">
        <v>18410561</v>
      </c>
      <c r="X26" s="65"/>
      <c r="Y26" s="65">
        <v>1528101</v>
      </c>
    </row>
    <row r="27" spans="1:25" ht="20.100000000000001" customHeight="1" x14ac:dyDescent="0.25">
      <c r="A27" s="46">
        <v>121</v>
      </c>
      <c r="B27" s="63" t="s">
        <v>124</v>
      </c>
      <c r="C27" s="48">
        <v>2.503009E-3</v>
      </c>
      <c r="D27" s="48">
        <v>2.503164653213436E-3</v>
      </c>
      <c r="E27" s="64">
        <f t="shared" si="7"/>
        <v>1386572</v>
      </c>
      <c r="F27" s="65">
        <v>1386658</v>
      </c>
      <c r="G27" s="65">
        <f t="shared" si="1"/>
        <v>86</v>
      </c>
      <c r="H27" s="65">
        <f t="shared" si="5"/>
        <v>192537</v>
      </c>
      <c r="I27" s="65">
        <v>192537</v>
      </c>
      <c r="J27" s="65">
        <f t="shared" si="6"/>
        <v>0</v>
      </c>
      <c r="K27" s="51">
        <f t="shared" si="8"/>
        <v>15</v>
      </c>
      <c r="L27" s="51">
        <f t="shared" si="3"/>
        <v>71</v>
      </c>
      <c r="M27" s="51">
        <f t="shared" si="4"/>
        <v>0</v>
      </c>
      <c r="O27" s="51">
        <v>0</v>
      </c>
      <c r="P27" s="65">
        <v>67065</v>
      </c>
      <c r="Q27" s="51">
        <v>0</v>
      </c>
      <c r="S27" s="65">
        <v>-2568</v>
      </c>
      <c r="T27" s="51">
        <v>0</v>
      </c>
      <c r="U27" s="65">
        <v>-426540</v>
      </c>
      <c r="W27" s="65">
        <v>907392</v>
      </c>
      <c r="X27" s="65"/>
      <c r="Y27" s="65">
        <v>75315</v>
      </c>
    </row>
    <row r="28" spans="1:25" ht="20.100000000000001" customHeight="1" x14ac:dyDescent="0.25">
      <c r="A28" s="46">
        <v>122</v>
      </c>
      <c r="B28" s="63" t="s">
        <v>125</v>
      </c>
      <c r="C28" s="48">
        <v>1.0222289999999999E-3</v>
      </c>
      <c r="D28" s="48">
        <v>1.0326647681139247E-3</v>
      </c>
      <c r="E28" s="64">
        <f t="shared" si="7"/>
        <v>566276</v>
      </c>
      <c r="F28" s="65">
        <v>572057</v>
      </c>
      <c r="G28" s="65">
        <f t="shared" si="1"/>
        <v>5781</v>
      </c>
      <c r="H28" s="65">
        <f t="shared" si="5"/>
        <v>79430</v>
      </c>
      <c r="I28" s="65">
        <v>79430</v>
      </c>
      <c r="J28" s="65">
        <f t="shared" si="6"/>
        <v>0</v>
      </c>
      <c r="K28" s="51">
        <f t="shared" si="8"/>
        <v>1032</v>
      </c>
      <c r="L28" s="51">
        <f t="shared" si="3"/>
        <v>4749</v>
      </c>
      <c r="M28" s="51">
        <f t="shared" si="4"/>
        <v>0</v>
      </c>
      <c r="O28" s="51">
        <v>0</v>
      </c>
      <c r="P28" s="65">
        <v>27668</v>
      </c>
      <c r="Q28" s="51">
        <v>0</v>
      </c>
      <c r="S28" s="65">
        <v>-1059</v>
      </c>
      <c r="T28" s="51">
        <v>0</v>
      </c>
      <c r="U28" s="65">
        <v>-175967</v>
      </c>
      <c r="W28" s="65">
        <v>374339</v>
      </c>
      <c r="X28" s="65"/>
      <c r="Y28" s="65">
        <v>31071</v>
      </c>
    </row>
    <row r="29" spans="1:25" ht="20.100000000000001" customHeight="1" x14ac:dyDescent="0.25">
      <c r="A29" s="46">
        <v>123</v>
      </c>
      <c r="B29" s="63" t="s">
        <v>126</v>
      </c>
      <c r="C29" s="48">
        <v>3.2000470000000001E-3</v>
      </c>
      <c r="D29" s="48">
        <v>3.2123397007037457E-3</v>
      </c>
      <c r="E29" s="64">
        <f t="shared" si="7"/>
        <v>1772704</v>
      </c>
      <c r="F29" s="65">
        <v>1779514</v>
      </c>
      <c r="G29" s="65">
        <f t="shared" si="1"/>
        <v>6810</v>
      </c>
      <c r="H29" s="65">
        <f t="shared" si="5"/>
        <v>247085</v>
      </c>
      <c r="I29" s="65">
        <v>247085</v>
      </c>
      <c r="J29" s="65">
        <f t="shared" si="6"/>
        <v>0</v>
      </c>
      <c r="K29" s="51">
        <f t="shared" si="8"/>
        <v>1216</v>
      </c>
      <c r="L29" s="51">
        <f t="shared" si="3"/>
        <v>5594</v>
      </c>
      <c r="M29" s="51">
        <f t="shared" si="4"/>
        <v>0</v>
      </c>
      <c r="O29" s="51">
        <v>0</v>
      </c>
      <c r="P29" s="65">
        <v>86066</v>
      </c>
      <c r="Q29" s="51">
        <v>0</v>
      </c>
      <c r="S29" s="65">
        <v>-3296</v>
      </c>
      <c r="T29" s="51">
        <v>0</v>
      </c>
      <c r="U29" s="65">
        <v>-547384</v>
      </c>
      <c r="W29" s="65">
        <v>1164467</v>
      </c>
      <c r="X29" s="65"/>
      <c r="Y29" s="65">
        <v>96652</v>
      </c>
    </row>
    <row r="30" spans="1:25" ht="20.100000000000001" customHeight="1" x14ac:dyDescent="0.25">
      <c r="A30" s="46">
        <v>124</v>
      </c>
      <c r="B30" s="63" t="s">
        <v>127</v>
      </c>
      <c r="C30" s="48">
        <v>1.4880348999999999E-2</v>
      </c>
      <c r="D30" s="48">
        <v>1.4805442570812186E-2</v>
      </c>
      <c r="E30" s="64">
        <f t="shared" si="7"/>
        <v>8243147</v>
      </c>
      <c r="F30" s="65">
        <v>8201652</v>
      </c>
      <c r="G30" s="65">
        <f t="shared" si="1"/>
        <v>-41495</v>
      </c>
      <c r="H30" s="65">
        <f t="shared" si="5"/>
        <v>1138797</v>
      </c>
      <c r="I30" s="65">
        <v>1138797</v>
      </c>
      <c r="J30" s="65">
        <f t="shared" si="6"/>
        <v>0</v>
      </c>
      <c r="K30" s="51">
        <f t="shared" si="8"/>
        <v>-7410</v>
      </c>
      <c r="L30" s="51">
        <f t="shared" si="3"/>
        <v>0</v>
      </c>
      <c r="M30" s="51">
        <f t="shared" si="4"/>
        <v>-34085</v>
      </c>
      <c r="O30" s="51">
        <v>0</v>
      </c>
      <c r="P30" s="65">
        <v>396671</v>
      </c>
      <c r="Q30" s="51">
        <v>0</v>
      </c>
      <c r="S30" s="65">
        <v>-15189</v>
      </c>
      <c r="T30" s="51">
        <v>0</v>
      </c>
      <c r="U30" s="65">
        <v>-2522854</v>
      </c>
      <c r="W30" s="65">
        <v>5366947</v>
      </c>
      <c r="X30" s="65"/>
      <c r="Y30" s="65">
        <v>445464</v>
      </c>
    </row>
    <row r="31" spans="1:25" ht="20.100000000000001" customHeight="1" x14ac:dyDescent="0.25">
      <c r="A31" s="46">
        <v>125</v>
      </c>
      <c r="B31" s="63" t="s">
        <v>128</v>
      </c>
      <c r="C31" s="48">
        <v>6.6303159999999998E-3</v>
      </c>
      <c r="D31" s="48">
        <v>6.8337147069923096E-3</v>
      </c>
      <c r="E31" s="64">
        <f t="shared" si="7"/>
        <v>3672943</v>
      </c>
      <c r="F31" s="65">
        <v>3785618</v>
      </c>
      <c r="G31" s="65">
        <f t="shared" si="1"/>
        <v>112675</v>
      </c>
      <c r="H31" s="65">
        <f t="shared" si="5"/>
        <v>525632</v>
      </c>
      <c r="I31" s="65">
        <v>525632</v>
      </c>
      <c r="J31" s="65">
        <f t="shared" si="6"/>
        <v>0</v>
      </c>
      <c r="K31" s="51">
        <f t="shared" si="8"/>
        <v>20121</v>
      </c>
      <c r="L31" s="51">
        <f t="shared" si="3"/>
        <v>92554</v>
      </c>
      <c r="M31" s="51">
        <f t="shared" si="4"/>
        <v>0</v>
      </c>
      <c r="O31" s="51">
        <v>0</v>
      </c>
      <c r="P31" s="65">
        <v>183091</v>
      </c>
      <c r="Q31" s="51">
        <v>0</v>
      </c>
      <c r="S31" s="65">
        <v>-7011</v>
      </c>
      <c r="T31" s="51">
        <v>0</v>
      </c>
      <c r="U31" s="65">
        <v>-1164468</v>
      </c>
      <c r="W31" s="65">
        <v>2477210</v>
      </c>
      <c r="X31" s="65"/>
      <c r="Y31" s="65">
        <v>205612</v>
      </c>
    </row>
    <row r="32" spans="1:25" ht="20.100000000000001" customHeight="1" x14ac:dyDescent="0.25">
      <c r="A32" s="46">
        <v>126</v>
      </c>
      <c r="B32" s="63" t="s">
        <v>129</v>
      </c>
      <c r="C32" s="48">
        <v>3.9844069999999997E-3</v>
      </c>
      <c r="D32" s="48">
        <v>4.0720016152878047E-3</v>
      </c>
      <c r="E32" s="64">
        <f t="shared" si="7"/>
        <v>2207210</v>
      </c>
      <c r="F32" s="65">
        <v>2255734</v>
      </c>
      <c r="G32" s="65">
        <f t="shared" si="1"/>
        <v>48524</v>
      </c>
      <c r="H32" s="65">
        <f t="shared" si="5"/>
        <v>313208</v>
      </c>
      <c r="I32" s="65">
        <v>313208</v>
      </c>
      <c r="J32" s="65">
        <f t="shared" si="6"/>
        <v>0</v>
      </c>
      <c r="K32" s="51">
        <f t="shared" si="8"/>
        <v>8665</v>
      </c>
      <c r="L32" s="51">
        <f t="shared" si="3"/>
        <v>39859</v>
      </c>
      <c r="M32" s="51">
        <f t="shared" si="4"/>
        <v>0</v>
      </c>
      <c r="O32" s="51">
        <v>0</v>
      </c>
      <c r="P32" s="65">
        <v>109098</v>
      </c>
      <c r="Q32" s="51">
        <v>0</v>
      </c>
      <c r="S32" s="65">
        <v>-4178</v>
      </c>
      <c r="T32" s="51">
        <v>0</v>
      </c>
      <c r="U32" s="65">
        <v>-693871</v>
      </c>
      <c r="W32" s="65">
        <v>1476093</v>
      </c>
      <c r="X32" s="65"/>
      <c r="Y32" s="65">
        <v>122518</v>
      </c>
    </row>
    <row r="33" spans="1:25" ht="20.100000000000001" customHeight="1" x14ac:dyDescent="0.25">
      <c r="A33" s="46">
        <v>127</v>
      </c>
      <c r="B33" s="63" t="s">
        <v>130</v>
      </c>
      <c r="C33" s="48">
        <v>4.476636E-3</v>
      </c>
      <c r="D33" s="48">
        <v>4.6781966677311264E-3</v>
      </c>
      <c r="E33" s="64">
        <f t="shared" si="7"/>
        <v>2479886</v>
      </c>
      <c r="F33" s="65">
        <v>2591543</v>
      </c>
      <c r="G33" s="65">
        <f t="shared" si="1"/>
        <v>111657</v>
      </c>
      <c r="H33" s="65">
        <f t="shared" si="5"/>
        <v>359835</v>
      </c>
      <c r="I33" s="65">
        <v>359835</v>
      </c>
      <c r="J33" s="65">
        <f t="shared" si="6"/>
        <v>0</v>
      </c>
      <c r="K33" s="51">
        <f t="shared" si="8"/>
        <v>19939</v>
      </c>
      <c r="L33" s="51">
        <f t="shared" si="3"/>
        <v>91718</v>
      </c>
      <c r="M33" s="51">
        <f t="shared" si="4"/>
        <v>0</v>
      </c>
      <c r="O33" s="51">
        <v>0</v>
      </c>
      <c r="P33" s="65">
        <v>125339</v>
      </c>
      <c r="Q33" s="51">
        <v>0</v>
      </c>
      <c r="S33" s="65">
        <v>-4799</v>
      </c>
      <c r="T33" s="51">
        <v>0</v>
      </c>
      <c r="U33" s="65">
        <v>-797167</v>
      </c>
      <c r="W33" s="65">
        <v>1695838</v>
      </c>
      <c r="X33" s="65"/>
      <c r="Y33" s="65">
        <v>140757</v>
      </c>
    </row>
    <row r="34" spans="1:25" ht="20.100000000000001" customHeight="1" x14ac:dyDescent="0.25">
      <c r="A34" s="46">
        <v>128</v>
      </c>
      <c r="B34" s="63" t="s">
        <v>131</v>
      </c>
      <c r="C34" s="48">
        <v>3.6472986999999998E-2</v>
      </c>
      <c r="D34" s="48">
        <v>3.7781370334920884E-2</v>
      </c>
      <c r="E34" s="64">
        <f t="shared" si="7"/>
        <v>20204647</v>
      </c>
      <c r="F34" s="65">
        <v>20929442</v>
      </c>
      <c r="G34" s="65">
        <f t="shared" si="1"/>
        <v>724795</v>
      </c>
      <c r="H34" s="65">
        <f t="shared" si="5"/>
        <v>2906047</v>
      </c>
      <c r="I34" s="65">
        <v>2906047</v>
      </c>
      <c r="J34" s="65">
        <f t="shared" si="6"/>
        <v>0</v>
      </c>
      <c r="K34" s="51">
        <f t="shared" si="8"/>
        <v>129428</v>
      </c>
      <c r="L34" s="51">
        <f t="shared" si="3"/>
        <v>595367</v>
      </c>
      <c r="M34" s="51">
        <f t="shared" si="4"/>
        <v>0</v>
      </c>
      <c r="O34" s="51">
        <v>0</v>
      </c>
      <c r="P34" s="65">
        <v>1012248</v>
      </c>
      <c r="Q34" s="51">
        <v>0</v>
      </c>
      <c r="S34" s="65">
        <v>-38761</v>
      </c>
      <c r="T34" s="51">
        <v>0</v>
      </c>
      <c r="U34" s="65">
        <v>-6437961</v>
      </c>
      <c r="W34" s="65">
        <v>13695681</v>
      </c>
      <c r="X34" s="65"/>
      <c r="Y34" s="65">
        <v>1136759</v>
      </c>
    </row>
    <row r="35" spans="1:25" ht="20.100000000000001" customHeight="1" x14ac:dyDescent="0.25">
      <c r="A35" s="46">
        <v>129</v>
      </c>
      <c r="B35" s="63" t="s">
        <v>132</v>
      </c>
      <c r="C35" s="48">
        <v>7.9942639999999992E-3</v>
      </c>
      <c r="D35" s="48">
        <v>8.0940792250535059E-3</v>
      </c>
      <c r="E35" s="64">
        <f t="shared" si="7"/>
        <v>4428518</v>
      </c>
      <c r="F35" s="65">
        <v>4483812</v>
      </c>
      <c r="G35" s="65">
        <f t="shared" si="1"/>
        <v>55294</v>
      </c>
      <c r="H35" s="65">
        <f t="shared" si="5"/>
        <v>622576</v>
      </c>
      <c r="I35" s="65">
        <v>622576</v>
      </c>
      <c r="J35" s="65">
        <f t="shared" si="6"/>
        <v>0</v>
      </c>
      <c r="K35" s="51">
        <f t="shared" si="8"/>
        <v>9874</v>
      </c>
      <c r="L35" s="51">
        <f t="shared" si="3"/>
        <v>45420</v>
      </c>
      <c r="M35" s="51">
        <f t="shared" si="4"/>
        <v>0</v>
      </c>
      <c r="O35" s="51">
        <v>0</v>
      </c>
      <c r="P35" s="65">
        <v>216859</v>
      </c>
      <c r="Q35" s="51">
        <v>0</v>
      </c>
      <c r="S35" s="65">
        <v>-8304</v>
      </c>
      <c r="T35" s="51">
        <v>0</v>
      </c>
      <c r="U35" s="65">
        <v>-1379234</v>
      </c>
      <c r="W35" s="65">
        <v>2934090</v>
      </c>
      <c r="X35" s="65"/>
      <c r="Y35" s="65">
        <v>243533</v>
      </c>
    </row>
    <row r="36" spans="1:25" ht="20.100000000000001" customHeight="1" x14ac:dyDescent="0.25">
      <c r="A36" s="46">
        <v>130</v>
      </c>
      <c r="B36" s="63" t="s">
        <v>133</v>
      </c>
      <c r="C36" s="48">
        <v>2.405272E-3</v>
      </c>
      <c r="D36" s="48">
        <v>2.5470034033618421E-3</v>
      </c>
      <c r="E36" s="64">
        <f t="shared" si="7"/>
        <v>1332429</v>
      </c>
      <c r="F36" s="65">
        <v>1410943</v>
      </c>
      <c r="G36" s="65">
        <f t="shared" si="1"/>
        <v>78514</v>
      </c>
      <c r="H36" s="65">
        <f t="shared" si="5"/>
        <v>195909</v>
      </c>
      <c r="I36" s="65">
        <v>195909</v>
      </c>
      <c r="J36" s="65">
        <f t="shared" si="6"/>
        <v>0</v>
      </c>
      <c r="K36" s="51">
        <f t="shared" si="8"/>
        <v>14020</v>
      </c>
      <c r="L36" s="51">
        <f t="shared" si="3"/>
        <v>64494</v>
      </c>
      <c r="M36" s="51">
        <f t="shared" si="4"/>
        <v>0</v>
      </c>
      <c r="O36" s="51">
        <v>0</v>
      </c>
      <c r="P36" s="65">
        <v>68240</v>
      </c>
      <c r="Q36" s="51">
        <v>0</v>
      </c>
      <c r="S36" s="65">
        <v>-2613</v>
      </c>
      <c r="T36" s="51">
        <v>0</v>
      </c>
      <c r="U36" s="65">
        <v>-434010</v>
      </c>
      <c r="W36" s="65">
        <v>923284</v>
      </c>
      <c r="X36" s="65"/>
      <c r="Y36" s="65">
        <v>76634</v>
      </c>
    </row>
    <row r="37" spans="1:25" ht="20.100000000000001" customHeight="1" x14ac:dyDescent="0.25">
      <c r="A37" s="46">
        <v>131</v>
      </c>
      <c r="B37" s="67" t="s">
        <v>134</v>
      </c>
      <c r="C37" s="48">
        <v>3.4360189999999998E-3</v>
      </c>
      <c r="D37" s="48">
        <v>3.5153135722255846E-3</v>
      </c>
      <c r="E37" s="64">
        <f t="shared" si="7"/>
        <v>1903424</v>
      </c>
      <c r="F37" s="65">
        <v>1947350</v>
      </c>
      <c r="G37" s="65">
        <f t="shared" si="1"/>
        <v>43926</v>
      </c>
      <c r="H37" s="65">
        <f t="shared" si="5"/>
        <v>270389</v>
      </c>
      <c r="I37" s="65">
        <v>270389</v>
      </c>
      <c r="J37" s="65">
        <f t="shared" si="6"/>
        <v>0</v>
      </c>
      <c r="K37" s="51">
        <f t="shared" si="8"/>
        <v>7844</v>
      </c>
      <c r="L37" s="51">
        <f t="shared" si="3"/>
        <v>36082</v>
      </c>
      <c r="M37" s="51">
        <f t="shared" si="4"/>
        <v>0</v>
      </c>
      <c r="O37" s="51">
        <v>0</v>
      </c>
      <c r="P37" s="65">
        <v>94183</v>
      </c>
      <c r="Q37" s="51">
        <v>0</v>
      </c>
      <c r="S37" s="65">
        <v>-3606</v>
      </c>
      <c r="T37" s="51">
        <v>0</v>
      </c>
      <c r="U37" s="65">
        <v>-599011</v>
      </c>
      <c r="W37" s="65">
        <v>1274295</v>
      </c>
      <c r="X37" s="65"/>
      <c r="Y37" s="65">
        <v>105768</v>
      </c>
    </row>
    <row r="38" spans="1:25" ht="20.100000000000001" customHeight="1" x14ac:dyDescent="0.25">
      <c r="A38" s="46">
        <v>132</v>
      </c>
      <c r="B38" s="63" t="s">
        <v>135</v>
      </c>
      <c r="C38" s="48">
        <v>2.3405359999999998E-3</v>
      </c>
      <c r="D38" s="48">
        <v>2.1412426908496702E-3</v>
      </c>
      <c r="E38" s="64">
        <f t="shared" si="7"/>
        <v>1296568</v>
      </c>
      <c r="F38" s="65">
        <v>1186167</v>
      </c>
      <c r="G38" s="65">
        <f t="shared" si="1"/>
        <v>-110401</v>
      </c>
      <c r="H38" s="65">
        <f t="shared" si="5"/>
        <v>164699</v>
      </c>
      <c r="I38" s="65">
        <v>164699</v>
      </c>
      <c r="J38" s="65">
        <f t="shared" si="6"/>
        <v>0</v>
      </c>
      <c r="K38" s="51">
        <f t="shared" si="8"/>
        <v>-19714</v>
      </c>
      <c r="L38" s="51">
        <f t="shared" si="3"/>
        <v>0</v>
      </c>
      <c r="M38" s="51">
        <f t="shared" si="4"/>
        <v>-90687</v>
      </c>
      <c r="O38" s="51">
        <v>0</v>
      </c>
      <c r="P38" s="65">
        <v>57369</v>
      </c>
      <c r="Q38" s="51">
        <v>0</v>
      </c>
      <c r="S38" s="65">
        <v>-2197</v>
      </c>
      <c r="T38" s="51">
        <v>0</v>
      </c>
      <c r="U38" s="65">
        <v>-364869</v>
      </c>
      <c r="W38" s="65">
        <v>776197</v>
      </c>
      <c r="X38" s="65"/>
      <c r="Y38" s="65">
        <v>64425</v>
      </c>
    </row>
    <row r="39" spans="1:25" ht="20.100000000000001" customHeight="1" x14ac:dyDescent="0.25">
      <c r="A39" s="46">
        <v>133</v>
      </c>
      <c r="B39" s="67" t="s">
        <v>136</v>
      </c>
      <c r="C39" s="48">
        <v>1.813381E-2</v>
      </c>
      <c r="D39" s="48">
        <v>1.8394678186215749E-2</v>
      </c>
      <c r="E39" s="64">
        <f t="shared" si="7"/>
        <v>10045441</v>
      </c>
      <c r="F39" s="65">
        <v>10189952</v>
      </c>
      <c r="G39" s="65">
        <f t="shared" si="1"/>
        <v>144511</v>
      </c>
      <c r="H39" s="65">
        <f t="shared" si="5"/>
        <v>1414872</v>
      </c>
      <c r="I39" s="65">
        <v>1414872</v>
      </c>
      <c r="J39" s="65">
        <f t="shared" si="6"/>
        <v>0</v>
      </c>
      <c r="K39" s="51">
        <f t="shared" si="8"/>
        <v>25806</v>
      </c>
      <c r="L39" s="51">
        <f t="shared" si="3"/>
        <v>118705</v>
      </c>
      <c r="M39" s="51">
        <f t="shared" si="4"/>
        <v>0</v>
      </c>
      <c r="O39" s="51">
        <v>0</v>
      </c>
      <c r="P39" s="65">
        <v>492835</v>
      </c>
      <c r="Q39" s="51">
        <v>0</v>
      </c>
      <c r="S39" s="65">
        <v>-18871</v>
      </c>
      <c r="T39" s="51">
        <v>0</v>
      </c>
      <c r="U39" s="65">
        <v>-3134461</v>
      </c>
      <c r="W39" s="65">
        <v>6668039</v>
      </c>
      <c r="X39" s="65"/>
      <c r="Y39" s="65">
        <v>553456</v>
      </c>
    </row>
    <row r="40" spans="1:25" ht="20.100000000000001" customHeight="1" x14ac:dyDescent="0.25">
      <c r="A40" s="46">
        <v>134</v>
      </c>
      <c r="B40" s="63" t="s">
        <v>137</v>
      </c>
      <c r="C40" s="48">
        <v>1.5751590999999999E-2</v>
      </c>
      <c r="D40" s="48">
        <v>1.5610552003226806E-2</v>
      </c>
      <c r="E40" s="64">
        <f t="shared" si="7"/>
        <v>8725782</v>
      </c>
      <c r="F40" s="65">
        <v>8647652</v>
      </c>
      <c r="G40" s="65">
        <f t="shared" si="1"/>
        <v>-78130</v>
      </c>
      <c r="H40" s="65">
        <f t="shared" si="5"/>
        <v>1200724</v>
      </c>
      <c r="I40" s="65">
        <v>1200724</v>
      </c>
      <c r="J40" s="65">
        <f t="shared" si="6"/>
        <v>0</v>
      </c>
      <c r="K40" s="51">
        <f t="shared" si="8"/>
        <v>-13952</v>
      </c>
      <c r="L40" s="51">
        <f t="shared" si="3"/>
        <v>0</v>
      </c>
      <c r="M40" s="51">
        <f t="shared" si="4"/>
        <v>-64178</v>
      </c>
      <c r="O40" s="51">
        <v>0</v>
      </c>
      <c r="P40" s="65">
        <v>418242</v>
      </c>
      <c r="Q40" s="51">
        <v>0</v>
      </c>
      <c r="S40" s="65">
        <v>-16015</v>
      </c>
      <c r="T40" s="51">
        <v>0</v>
      </c>
      <c r="U40" s="65">
        <v>-2660045</v>
      </c>
      <c r="W40" s="65">
        <v>5658798</v>
      </c>
      <c r="X40" s="65"/>
      <c r="Y40" s="65">
        <v>469688</v>
      </c>
    </row>
    <row r="41" spans="1:25" ht="20.100000000000001" customHeight="1" x14ac:dyDescent="0.25">
      <c r="A41" s="46">
        <v>135</v>
      </c>
      <c r="B41" s="67" t="s">
        <v>138</v>
      </c>
      <c r="C41" s="48">
        <v>1.9851965999999999E-2</v>
      </c>
      <c r="D41" s="48">
        <v>2.0054860770485287E-2</v>
      </c>
      <c r="E41" s="64">
        <f t="shared" si="7"/>
        <v>10997234</v>
      </c>
      <c r="F41" s="65">
        <v>11109630</v>
      </c>
      <c r="G41" s="65">
        <f t="shared" si="1"/>
        <v>112396</v>
      </c>
      <c r="H41" s="65">
        <f t="shared" si="5"/>
        <v>1542569</v>
      </c>
      <c r="I41" s="65">
        <v>1542569</v>
      </c>
      <c r="J41" s="65">
        <f t="shared" si="6"/>
        <v>0</v>
      </c>
      <c r="K41" s="51">
        <f t="shared" si="8"/>
        <v>20071</v>
      </c>
      <c r="L41" s="51">
        <f t="shared" si="3"/>
        <v>92325</v>
      </c>
      <c r="M41" s="51">
        <f t="shared" si="4"/>
        <v>0</v>
      </c>
      <c r="O41" s="51">
        <v>0</v>
      </c>
      <c r="P41" s="65">
        <v>537315</v>
      </c>
      <c r="Q41" s="51">
        <v>0</v>
      </c>
      <c r="S41" s="65">
        <v>-20575</v>
      </c>
      <c r="T41" s="51">
        <v>0</v>
      </c>
      <c r="U41" s="65">
        <v>-3417357</v>
      </c>
      <c r="W41" s="65">
        <v>7269852</v>
      </c>
      <c r="X41" s="65"/>
      <c r="Y41" s="65">
        <v>603407</v>
      </c>
    </row>
    <row r="42" spans="1:25" ht="20.100000000000001" customHeight="1" x14ac:dyDescent="0.25">
      <c r="A42" s="46">
        <v>136</v>
      </c>
      <c r="B42" s="67" t="s">
        <v>139</v>
      </c>
      <c r="C42" s="48">
        <v>1.7272699999999998E-2</v>
      </c>
      <c r="D42" s="48">
        <v>1.7550385557971553E-2</v>
      </c>
      <c r="E42" s="64">
        <f t="shared" si="7"/>
        <v>9568419</v>
      </c>
      <c r="F42" s="65">
        <v>9722246</v>
      </c>
      <c r="G42" s="65">
        <f t="shared" si="1"/>
        <v>153827</v>
      </c>
      <c r="H42" s="65">
        <f t="shared" si="5"/>
        <v>1349931</v>
      </c>
      <c r="I42" s="65">
        <v>1349931</v>
      </c>
      <c r="J42" s="65">
        <f t="shared" si="6"/>
        <v>0</v>
      </c>
      <c r="K42" s="51">
        <f t="shared" si="8"/>
        <v>27469</v>
      </c>
      <c r="L42" s="51">
        <f t="shared" si="3"/>
        <v>126358</v>
      </c>
      <c r="M42" s="51">
        <f t="shared" si="4"/>
        <v>0</v>
      </c>
      <c r="O42" s="51">
        <v>0</v>
      </c>
      <c r="P42" s="65">
        <v>470215</v>
      </c>
      <c r="Q42" s="51">
        <v>0</v>
      </c>
      <c r="S42" s="65">
        <v>-18005</v>
      </c>
      <c r="T42" s="51">
        <v>0</v>
      </c>
      <c r="U42" s="65">
        <v>-2990593</v>
      </c>
      <c r="W42" s="65">
        <v>6361984</v>
      </c>
      <c r="X42" s="65"/>
      <c r="Y42" s="65">
        <v>528053</v>
      </c>
    </row>
    <row r="43" spans="1:25" ht="20.100000000000001" customHeight="1" x14ac:dyDescent="0.25">
      <c r="A43" s="46">
        <v>137</v>
      </c>
      <c r="B43" s="67" t="s">
        <v>140</v>
      </c>
      <c r="C43" s="48">
        <v>1.0930558E-2</v>
      </c>
      <c r="D43" s="48">
        <v>1.0652561755950604E-2</v>
      </c>
      <c r="E43" s="64">
        <f t="shared" si="7"/>
        <v>6055113</v>
      </c>
      <c r="F43" s="65">
        <v>5901114</v>
      </c>
      <c r="G43" s="65">
        <f t="shared" si="1"/>
        <v>-153999</v>
      </c>
      <c r="H43" s="65">
        <f t="shared" si="5"/>
        <v>819368</v>
      </c>
      <c r="I43" s="65">
        <v>819368</v>
      </c>
      <c r="J43" s="65">
        <f t="shared" si="6"/>
        <v>0</v>
      </c>
      <c r="K43" s="51">
        <f t="shared" si="8"/>
        <v>-27500</v>
      </c>
      <c r="L43" s="51">
        <f t="shared" si="3"/>
        <v>0</v>
      </c>
      <c r="M43" s="51">
        <f t="shared" si="4"/>
        <v>-126499</v>
      </c>
      <c r="O43" s="51">
        <v>0</v>
      </c>
      <c r="P43" s="65">
        <v>285406</v>
      </c>
      <c r="Q43" s="51">
        <v>0</v>
      </c>
      <c r="S43" s="65">
        <v>-10929</v>
      </c>
      <c r="T43" s="51">
        <v>0</v>
      </c>
      <c r="U43" s="65">
        <v>-1815201</v>
      </c>
      <c r="W43" s="65">
        <v>3861535</v>
      </c>
      <c r="X43" s="65"/>
      <c r="Y43" s="65">
        <v>320512</v>
      </c>
    </row>
    <row r="44" spans="1:25" ht="20.100000000000001" customHeight="1" x14ac:dyDescent="0.25">
      <c r="A44" s="46">
        <v>138</v>
      </c>
      <c r="B44" s="67" t="s">
        <v>141</v>
      </c>
      <c r="C44" s="48">
        <v>2.3228110000000001E-3</v>
      </c>
      <c r="D44" s="48">
        <v>2.3467098673224606E-3</v>
      </c>
      <c r="E44" s="64">
        <f t="shared" si="7"/>
        <v>1286749</v>
      </c>
      <c r="F44" s="65">
        <v>1299988</v>
      </c>
      <c r="G44" s="65">
        <f t="shared" si="1"/>
        <v>13239</v>
      </c>
      <c r="H44" s="65">
        <f t="shared" si="5"/>
        <v>180503</v>
      </c>
      <c r="I44" s="65">
        <v>180503</v>
      </c>
      <c r="J44" s="65">
        <f t="shared" si="6"/>
        <v>0</v>
      </c>
      <c r="K44" s="51">
        <f t="shared" si="8"/>
        <v>2364</v>
      </c>
      <c r="L44" s="51">
        <f t="shared" si="3"/>
        <v>10875</v>
      </c>
      <c r="M44" s="51">
        <f t="shared" si="4"/>
        <v>0</v>
      </c>
      <c r="O44" s="51">
        <v>0</v>
      </c>
      <c r="P44" s="65">
        <v>62874</v>
      </c>
      <c r="Q44" s="51">
        <v>0</v>
      </c>
      <c r="S44" s="65">
        <v>-2408</v>
      </c>
      <c r="T44" s="51">
        <v>0</v>
      </c>
      <c r="U44" s="65">
        <v>-399880</v>
      </c>
      <c r="W44" s="65">
        <v>850678</v>
      </c>
      <c r="X44" s="65"/>
      <c r="Y44" s="65">
        <v>70607</v>
      </c>
    </row>
    <row r="45" spans="1:25" ht="20.100000000000001" customHeight="1" x14ac:dyDescent="0.25">
      <c r="A45" s="46">
        <v>139</v>
      </c>
      <c r="B45" s="63" t="s">
        <v>142</v>
      </c>
      <c r="C45" s="48">
        <v>4.9805830000000002E-3</v>
      </c>
      <c r="D45" s="48">
        <v>4.8796202452608475E-3</v>
      </c>
      <c r="E45" s="64">
        <f t="shared" si="7"/>
        <v>2759054</v>
      </c>
      <c r="F45" s="65">
        <v>2703124</v>
      </c>
      <c r="G45" s="65">
        <f t="shared" si="1"/>
        <v>-55930</v>
      </c>
      <c r="H45" s="65">
        <f t="shared" si="5"/>
        <v>375328</v>
      </c>
      <c r="I45" s="65">
        <v>375328</v>
      </c>
      <c r="J45" s="65">
        <f t="shared" si="6"/>
        <v>0</v>
      </c>
      <c r="K45" s="51">
        <f t="shared" si="8"/>
        <v>-9988</v>
      </c>
      <c r="L45" s="51">
        <f t="shared" si="3"/>
        <v>0</v>
      </c>
      <c r="M45" s="51">
        <f t="shared" si="4"/>
        <v>-45942</v>
      </c>
      <c r="O45" s="51">
        <v>0</v>
      </c>
      <c r="P45" s="65">
        <v>130736</v>
      </c>
      <c r="Q45" s="51">
        <v>0</v>
      </c>
      <c r="S45" s="65">
        <v>-5006</v>
      </c>
      <c r="T45" s="51">
        <v>0</v>
      </c>
      <c r="U45" s="65">
        <v>-831489</v>
      </c>
      <c r="W45" s="65">
        <v>1768854</v>
      </c>
      <c r="X45" s="65"/>
      <c r="Y45" s="65">
        <v>146817</v>
      </c>
    </row>
    <row r="46" spans="1:25" ht="20.100000000000001" customHeight="1" x14ac:dyDescent="0.25">
      <c r="A46" s="46">
        <v>140</v>
      </c>
      <c r="B46" s="67" t="s">
        <v>143</v>
      </c>
      <c r="C46" s="48">
        <v>1.4852021999999999E-2</v>
      </c>
      <c r="D46" s="48">
        <v>1.4834069085115394E-2</v>
      </c>
      <c r="E46" s="64">
        <f t="shared" si="7"/>
        <v>8227455</v>
      </c>
      <c r="F46" s="65">
        <v>8217510</v>
      </c>
      <c r="G46" s="65">
        <f t="shared" si="1"/>
        <v>-9945</v>
      </c>
      <c r="H46" s="65">
        <f t="shared" si="5"/>
        <v>1140999</v>
      </c>
      <c r="I46" s="65">
        <v>1140999</v>
      </c>
      <c r="J46" s="65">
        <f t="shared" si="6"/>
        <v>0</v>
      </c>
      <c r="K46" s="51">
        <f t="shared" si="8"/>
        <v>-1776</v>
      </c>
      <c r="L46" s="51">
        <f t="shared" si="3"/>
        <v>0</v>
      </c>
      <c r="M46" s="51">
        <f t="shared" si="4"/>
        <v>-8169</v>
      </c>
      <c r="O46" s="51">
        <v>0</v>
      </c>
      <c r="P46" s="65">
        <v>397438</v>
      </c>
      <c r="Q46" s="51">
        <v>0</v>
      </c>
      <c r="S46" s="65">
        <v>-15219</v>
      </c>
      <c r="T46" s="51">
        <v>0</v>
      </c>
      <c r="U46" s="65">
        <v>-2527732</v>
      </c>
      <c r="W46" s="65">
        <v>5377325</v>
      </c>
      <c r="X46" s="65"/>
      <c r="Y46" s="65">
        <v>446325</v>
      </c>
    </row>
    <row r="47" spans="1:25" ht="20.100000000000001" customHeight="1" x14ac:dyDescent="0.25">
      <c r="A47" s="46">
        <v>141</v>
      </c>
      <c r="B47" s="68" t="s">
        <v>144</v>
      </c>
      <c r="C47" s="48">
        <v>2.9829019999999999E-3</v>
      </c>
      <c r="D47" s="48">
        <v>3.0993608241631594E-3</v>
      </c>
      <c r="E47" s="64">
        <f t="shared" si="7"/>
        <v>1652414</v>
      </c>
      <c r="F47" s="65">
        <v>1716928</v>
      </c>
      <c r="G47" s="65">
        <f t="shared" si="1"/>
        <v>64514</v>
      </c>
      <c r="H47" s="65">
        <f t="shared" si="5"/>
        <v>238395</v>
      </c>
      <c r="I47" s="65">
        <v>238395</v>
      </c>
      <c r="J47" s="65">
        <f t="shared" si="6"/>
        <v>0</v>
      </c>
      <c r="K47" s="51">
        <f t="shared" si="8"/>
        <v>11520</v>
      </c>
      <c r="L47" s="51">
        <f t="shared" si="3"/>
        <v>52994</v>
      </c>
      <c r="M47" s="51">
        <f t="shared" si="4"/>
        <v>0</v>
      </c>
      <c r="O47" s="51">
        <v>0</v>
      </c>
      <c r="P47" s="65">
        <v>83039</v>
      </c>
      <c r="Q47" s="51">
        <v>0</v>
      </c>
      <c r="S47" s="65">
        <v>-3180</v>
      </c>
      <c r="T47" s="51">
        <v>0</v>
      </c>
      <c r="U47" s="65">
        <v>-528132</v>
      </c>
      <c r="W47" s="65">
        <v>1123513</v>
      </c>
      <c r="X47" s="65"/>
      <c r="Y47" s="65">
        <v>93253</v>
      </c>
    </row>
    <row r="48" spans="1:25" ht="20.100000000000001" customHeight="1" x14ac:dyDescent="0.25">
      <c r="A48" s="46">
        <v>142</v>
      </c>
      <c r="B48" s="63" t="s">
        <v>145</v>
      </c>
      <c r="C48" s="48">
        <v>6.4906586000000002E-2</v>
      </c>
      <c r="D48" s="48">
        <v>6.4715840660402313E-2</v>
      </c>
      <c r="E48" s="64">
        <f t="shared" si="7"/>
        <v>35955780</v>
      </c>
      <c r="F48" s="65">
        <v>35850114</v>
      </c>
      <c r="G48" s="65">
        <f t="shared" si="1"/>
        <v>-105666</v>
      </c>
      <c r="H48" s="65">
        <f t="shared" si="5"/>
        <v>4977778</v>
      </c>
      <c r="I48" s="65">
        <v>4977778</v>
      </c>
      <c r="J48" s="65">
        <f t="shared" si="6"/>
        <v>0</v>
      </c>
      <c r="K48" s="51">
        <f t="shared" si="8"/>
        <v>-18869</v>
      </c>
      <c r="L48" s="51">
        <f t="shared" si="3"/>
        <v>0</v>
      </c>
      <c r="M48" s="51">
        <f t="shared" si="4"/>
        <v>-86797</v>
      </c>
      <c r="O48" s="51">
        <v>0</v>
      </c>
      <c r="P48" s="65">
        <v>1733884</v>
      </c>
      <c r="Q48" s="51">
        <v>0</v>
      </c>
      <c r="S48" s="65">
        <v>-66393</v>
      </c>
      <c r="T48" s="51">
        <v>0</v>
      </c>
      <c r="U48" s="65">
        <v>-11027606</v>
      </c>
      <c r="W48" s="65">
        <v>23459379</v>
      </c>
      <c r="X48" s="65"/>
      <c r="Y48" s="65">
        <v>1947159</v>
      </c>
    </row>
    <row r="49" spans="1:25" ht="20.100000000000001" customHeight="1" x14ac:dyDescent="0.25">
      <c r="A49" s="46">
        <v>143</v>
      </c>
      <c r="B49" s="63" t="s">
        <v>146</v>
      </c>
      <c r="C49" s="48">
        <v>5.0584890000000002E-3</v>
      </c>
      <c r="D49" s="48">
        <v>5.0431459137678953E-3</v>
      </c>
      <c r="E49" s="64">
        <f t="shared" si="7"/>
        <v>2802210</v>
      </c>
      <c r="F49" s="65">
        <v>2793711</v>
      </c>
      <c r="G49" s="65">
        <f t="shared" si="1"/>
        <v>-8499</v>
      </c>
      <c r="H49" s="65">
        <f t="shared" si="5"/>
        <v>387906</v>
      </c>
      <c r="I49" s="65">
        <v>387906</v>
      </c>
      <c r="J49" s="65">
        <f t="shared" si="6"/>
        <v>0</v>
      </c>
      <c r="K49" s="51">
        <f t="shared" si="8"/>
        <v>-1518</v>
      </c>
      <c r="L49" s="51">
        <f t="shared" si="3"/>
        <v>0</v>
      </c>
      <c r="M49" s="51">
        <f t="shared" si="4"/>
        <v>-6981</v>
      </c>
      <c r="O49" s="51">
        <v>0</v>
      </c>
      <c r="P49" s="65">
        <v>135117</v>
      </c>
      <c r="Q49" s="51">
        <v>0</v>
      </c>
      <c r="S49" s="65">
        <v>-5174</v>
      </c>
      <c r="T49" s="51">
        <v>0</v>
      </c>
      <c r="U49" s="65">
        <v>-859354</v>
      </c>
      <c r="W49" s="65">
        <v>1828132</v>
      </c>
      <c r="X49" s="65"/>
      <c r="Y49" s="65">
        <v>151737</v>
      </c>
    </row>
    <row r="50" spans="1:25" ht="20.100000000000001" customHeight="1" x14ac:dyDescent="0.25">
      <c r="A50" s="46">
        <v>144</v>
      </c>
      <c r="B50" s="63" t="s">
        <v>147</v>
      </c>
      <c r="C50" s="48">
        <v>3.7492210000000001E-3</v>
      </c>
      <c r="D50" s="48">
        <v>3.744975550767104E-3</v>
      </c>
      <c r="E50" s="64">
        <f t="shared" si="7"/>
        <v>2076926</v>
      </c>
      <c r="F50" s="65">
        <v>2074574</v>
      </c>
      <c r="G50" s="65">
        <f t="shared" si="1"/>
        <v>-2352</v>
      </c>
      <c r="H50" s="65">
        <f t="shared" si="5"/>
        <v>288054</v>
      </c>
      <c r="I50" s="65">
        <v>288054</v>
      </c>
      <c r="J50" s="65">
        <f t="shared" si="6"/>
        <v>0</v>
      </c>
      <c r="K50" s="51">
        <f t="shared" si="8"/>
        <v>-420</v>
      </c>
      <c r="L50" s="51">
        <f t="shared" si="3"/>
        <v>0</v>
      </c>
      <c r="M50" s="51">
        <f t="shared" si="4"/>
        <v>-1932</v>
      </c>
      <c r="O50" s="51">
        <v>0</v>
      </c>
      <c r="P50" s="65">
        <v>100336</v>
      </c>
      <c r="Q50" s="51">
        <v>0</v>
      </c>
      <c r="S50" s="65">
        <v>-3842</v>
      </c>
      <c r="T50" s="51">
        <v>0</v>
      </c>
      <c r="U50" s="65">
        <v>-638145</v>
      </c>
      <c r="W50" s="65">
        <v>1357547</v>
      </c>
      <c r="X50" s="65"/>
      <c r="Y50" s="65">
        <v>112678</v>
      </c>
    </row>
    <row r="51" spans="1:25" ht="20.100000000000001" customHeight="1" x14ac:dyDescent="0.25">
      <c r="A51" s="46">
        <v>145</v>
      </c>
      <c r="B51" s="63" t="s">
        <v>148</v>
      </c>
      <c r="C51" s="48">
        <v>1.7820418000000001E-2</v>
      </c>
      <c r="D51" s="48">
        <v>1.8092471515386233E-2</v>
      </c>
      <c r="E51" s="64">
        <f t="shared" si="7"/>
        <v>9871834</v>
      </c>
      <c r="F51" s="65">
        <v>10022541</v>
      </c>
      <c r="G51" s="65">
        <f t="shared" si="1"/>
        <v>150707</v>
      </c>
      <c r="H51" s="65">
        <f t="shared" si="5"/>
        <v>1391627</v>
      </c>
      <c r="I51" s="65">
        <v>1391627</v>
      </c>
      <c r="J51" s="65">
        <f t="shared" si="6"/>
        <v>0</v>
      </c>
      <c r="K51" s="51">
        <f t="shared" si="8"/>
        <v>26912</v>
      </c>
      <c r="L51" s="51">
        <f t="shared" si="3"/>
        <v>123795</v>
      </c>
      <c r="M51" s="51">
        <f t="shared" si="4"/>
        <v>0</v>
      </c>
      <c r="O51" s="51">
        <v>0</v>
      </c>
      <c r="P51" s="65">
        <v>484738</v>
      </c>
      <c r="Q51" s="51">
        <v>0</v>
      </c>
      <c r="S51" s="65">
        <v>-18561</v>
      </c>
      <c r="T51" s="51">
        <v>0</v>
      </c>
      <c r="U51" s="65">
        <v>-3082965</v>
      </c>
      <c r="W51" s="65">
        <v>6558490</v>
      </c>
      <c r="X51" s="65"/>
      <c r="Y51" s="65">
        <v>544363</v>
      </c>
    </row>
    <row r="52" spans="1:25" ht="20.100000000000001" customHeight="1" x14ac:dyDescent="0.25">
      <c r="A52" s="46">
        <v>146</v>
      </c>
      <c r="B52" s="63" t="s">
        <v>149</v>
      </c>
      <c r="C52" s="48">
        <v>5.8180734999999997E-2</v>
      </c>
      <c r="D52" s="48">
        <v>5.7205204023024966E-2</v>
      </c>
      <c r="E52" s="64">
        <f t="shared" si="7"/>
        <v>32229914</v>
      </c>
      <c r="F52" s="65">
        <v>31689507</v>
      </c>
      <c r="G52" s="65">
        <f t="shared" si="1"/>
        <v>-540407</v>
      </c>
      <c r="H52" s="65">
        <f t="shared" si="5"/>
        <v>4400079</v>
      </c>
      <c r="I52" s="65">
        <v>4400079</v>
      </c>
      <c r="J52" s="65">
        <f t="shared" si="6"/>
        <v>0</v>
      </c>
      <c r="K52" s="51">
        <f t="shared" si="8"/>
        <v>-96501</v>
      </c>
      <c r="L52" s="51">
        <f t="shared" si="3"/>
        <v>0</v>
      </c>
      <c r="M52" s="51">
        <f t="shared" si="4"/>
        <v>-443906</v>
      </c>
      <c r="O52" s="51">
        <v>0</v>
      </c>
      <c r="P52" s="65">
        <v>1532657</v>
      </c>
      <c r="Q52" s="51">
        <v>0</v>
      </c>
      <c r="S52" s="65">
        <v>-58688</v>
      </c>
      <c r="T52" s="51">
        <v>0</v>
      </c>
      <c r="U52" s="65">
        <v>-9747791</v>
      </c>
      <c r="W52" s="65">
        <v>20736787</v>
      </c>
      <c r="X52" s="65"/>
      <c r="Y52" s="65">
        <v>1721181</v>
      </c>
    </row>
    <row r="53" spans="1:25" ht="20.100000000000001" customHeight="1" x14ac:dyDescent="0.25">
      <c r="A53" s="46">
        <v>147</v>
      </c>
      <c r="B53" s="63" t="s">
        <v>150</v>
      </c>
      <c r="C53" s="48">
        <v>3.5554549999999999E-3</v>
      </c>
      <c r="D53" s="48">
        <v>3.6468695365889934E-3</v>
      </c>
      <c r="E53" s="64">
        <f t="shared" si="7"/>
        <v>1969587</v>
      </c>
      <c r="F53" s="65">
        <v>2020227</v>
      </c>
      <c r="G53" s="65">
        <f t="shared" si="1"/>
        <v>50640</v>
      </c>
      <c r="H53" s="65">
        <f t="shared" si="5"/>
        <v>280508</v>
      </c>
      <c r="I53" s="65">
        <v>280508</v>
      </c>
      <c r="J53" s="65">
        <f t="shared" si="6"/>
        <v>0</v>
      </c>
      <c r="K53" s="51">
        <f t="shared" si="8"/>
        <v>9043</v>
      </c>
      <c r="L53" s="51">
        <f t="shared" si="3"/>
        <v>41597</v>
      </c>
      <c r="M53" s="51">
        <f t="shared" si="4"/>
        <v>0</v>
      </c>
      <c r="O53" s="51">
        <v>0</v>
      </c>
      <c r="P53" s="65">
        <v>97708</v>
      </c>
      <c r="Q53" s="51">
        <v>0</v>
      </c>
      <c r="S53" s="65">
        <v>-3741</v>
      </c>
      <c r="T53" s="51">
        <v>0</v>
      </c>
      <c r="U53" s="65">
        <v>-621428</v>
      </c>
      <c r="W53" s="65">
        <v>1321984</v>
      </c>
      <c r="X53" s="65"/>
      <c r="Y53" s="65">
        <v>109726</v>
      </c>
    </row>
    <row r="54" spans="1:25" ht="20.100000000000001" customHeight="1" x14ac:dyDescent="0.25">
      <c r="A54" s="46">
        <v>148</v>
      </c>
      <c r="B54" s="63" t="s">
        <v>151</v>
      </c>
      <c r="C54" s="48">
        <v>3.1734760000000002E-3</v>
      </c>
      <c r="D54" s="48">
        <v>3.1191221088193092E-3</v>
      </c>
      <c r="E54" s="64">
        <f t="shared" si="7"/>
        <v>1757985</v>
      </c>
      <c r="F54" s="65">
        <v>1727875</v>
      </c>
      <c r="G54" s="65">
        <f t="shared" si="1"/>
        <v>-30110</v>
      </c>
      <c r="H54" s="65">
        <f t="shared" si="5"/>
        <v>239915</v>
      </c>
      <c r="I54" s="65">
        <v>239915</v>
      </c>
      <c r="J54" s="65">
        <f t="shared" si="6"/>
        <v>0</v>
      </c>
      <c r="K54" s="51">
        <f t="shared" si="8"/>
        <v>-5377</v>
      </c>
      <c r="L54" s="51">
        <f t="shared" si="3"/>
        <v>0</v>
      </c>
      <c r="M54" s="51">
        <f t="shared" si="4"/>
        <v>-24733</v>
      </c>
      <c r="O54" s="51">
        <v>0</v>
      </c>
      <c r="P54" s="65">
        <v>83568</v>
      </c>
      <c r="Q54" s="51">
        <v>0</v>
      </c>
      <c r="S54" s="65">
        <v>-3200</v>
      </c>
      <c r="T54" s="51">
        <v>0</v>
      </c>
      <c r="U54" s="65">
        <v>-531500</v>
      </c>
      <c r="W54" s="65">
        <v>1130677</v>
      </c>
      <c r="X54" s="65"/>
      <c r="Y54" s="65">
        <v>93848</v>
      </c>
    </row>
    <row r="55" spans="1:25" x14ac:dyDescent="0.25">
      <c r="A55" s="46">
        <v>149</v>
      </c>
      <c r="B55" s="63" t="s">
        <v>152</v>
      </c>
      <c r="C55" s="48">
        <v>3.0976123000000001E-2</v>
      </c>
      <c r="D55" s="48">
        <v>3.1260783626260578E-2</v>
      </c>
      <c r="E55" s="64">
        <f t="shared" si="7"/>
        <v>17159594</v>
      </c>
      <c r="F55" s="65">
        <v>17317285</v>
      </c>
      <c r="G55" s="65">
        <f t="shared" si="1"/>
        <v>157691</v>
      </c>
      <c r="H55" s="65">
        <f t="shared" si="5"/>
        <v>2404500</v>
      </c>
      <c r="I55" s="65">
        <v>2404500</v>
      </c>
      <c r="J55" s="65">
        <f t="shared" si="6"/>
        <v>0</v>
      </c>
      <c r="K55" s="51">
        <f t="shared" si="8"/>
        <v>28159</v>
      </c>
      <c r="L55" s="51">
        <f t="shared" si="3"/>
        <v>129532</v>
      </c>
      <c r="M55" s="51">
        <f t="shared" si="4"/>
        <v>0</v>
      </c>
      <c r="O55" s="51">
        <v>0</v>
      </c>
      <c r="P55" s="65">
        <v>837547</v>
      </c>
      <c r="Q55" s="51">
        <v>0</v>
      </c>
      <c r="S55" s="65">
        <v>-32071</v>
      </c>
      <c r="T55" s="51">
        <v>0</v>
      </c>
      <c r="U55" s="65">
        <v>-5326851</v>
      </c>
      <c r="W55" s="65">
        <v>11331979</v>
      </c>
      <c r="X55" s="65"/>
      <c r="Y55" s="65">
        <v>940569</v>
      </c>
    </row>
    <row r="56" spans="1:25" x14ac:dyDescent="0.25">
      <c r="E56" s="64"/>
      <c r="U56" s="65"/>
      <c r="W56" s="51"/>
      <c r="X56" s="51"/>
      <c r="Y56" s="65"/>
    </row>
    <row r="57" spans="1:25" x14ac:dyDescent="0.25">
      <c r="C57" s="69">
        <f t="shared" ref="C57:H57" si="9">SUM(C7:C56)</f>
        <v>1.0000000009999999</v>
      </c>
      <c r="D57" s="69">
        <f t="shared" si="9"/>
        <v>1</v>
      </c>
      <c r="E57" s="64">
        <f t="shared" si="9"/>
        <v>553961961</v>
      </c>
      <c r="F57" s="64">
        <f t="shared" si="9"/>
        <v>553961961</v>
      </c>
      <c r="G57" s="49">
        <f t="shared" si="9"/>
        <v>0</v>
      </c>
      <c r="H57" s="64">
        <f t="shared" si="9"/>
        <v>76917460</v>
      </c>
      <c r="J57" s="49">
        <f>SUM(J7:J56)</f>
        <v>0</v>
      </c>
      <c r="K57" s="49">
        <f>SUM(K7:K56)</f>
        <v>0</v>
      </c>
      <c r="L57" s="65">
        <f t="shared" ref="L57" si="10">SUM(L7:L56)</f>
        <v>3205189</v>
      </c>
      <c r="M57" s="65">
        <f>SUM(M7:M56)</f>
        <v>-3205189</v>
      </c>
      <c r="O57" s="65">
        <f>SUM(O7:O56)</f>
        <v>0</v>
      </c>
      <c r="P57" s="65">
        <f>SUM(P7:P56)</f>
        <v>26792260</v>
      </c>
      <c r="Q57" s="65">
        <f>SUM(Q7:Q56)</f>
        <v>0</v>
      </c>
      <c r="S57" s="65">
        <f>SUM(S7:S56)</f>
        <v>-1025916</v>
      </c>
      <c r="T57" s="65">
        <f>SUM(T7:T56)</f>
        <v>0</v>
      </c>
      <c r="U57" s="65">
        <f>SUM(U7:U56)+U61</f>
        <v>-170400421</v>
      </c>
      <c r="V57" s="65"/>
      <c r="W57" s="65">
        <f>SUM(W7:W56)+W61</f>
        <v>362498253</v>
      </c>
      <c r="X57" s="65"/>
      <c r="Y57" s="65">
        <f>SUM(Y7:Y56)+Y61</f>
        <v>30087829</v>
      </c>
    </row>
    <row r="58" spans="1:25" x14ac:dyDescent="0.25">
      <c r="C58" s="69"/>
      <c r="D58" s="69"/>
      <c r="E58" s="64"/>
      <c r="F58" s="64"/>
      <c r="H58" s="64"/>
      <c r="K58" s="49"/>
      <c r="L58" s="65"/>
      <c r="M58" s="65"/>
      <c r="O58" s="65"/>
      <c r="P58" s="65"/>
      <c r="Q58" s="65"/>
      <c r="S58" s="65"/>
      <c r="T58" s="65"/>
      <c r="U58" s="65"/>
      <c r="V58" s="65"/>
      <c r="W58" s="65"/>
      <c r="X58" s="65"/>
      <c r="Y58" s="65"/>
    </row>
    <row r="59" spans="1:25" x14ac:dyDescent="0.25">
      <c r="K59" s="49"/>
      <c r="L59" s="65"/>
      <c r="M59" s="65"/>
      <c r="O59" t="s">
        <v>60</v>
      </c>
      <c r="P59" s="50"/>
      <c r="Q59" s="69"/>
      <c r="R59" s="69"/>
      <c r="S59" s="64"/>
      <c r="T59" s="64"/>
      <c r="U59" s="49">
        <v>5.6</v>
      </c>
      <c r="V59" s="28" t="s">
        <v>61</v>
      </c>
      <c r="W59" s="65"/>
      <c r="X59" s="65"/>
      <c r="Y59" s="65"/>
    </row>
    <row r="60" spans="1:25" x14ac:dyDescent="0.25">
      <c r="U60" s="65"/>
    </row>
    <row r="61" spans="1:25" x14ac:dyDescent="0.25">
      <c r="B61" s="50" t="s">
        <v>153</v>
      </c>
      <c r="U61" s="65">
        <v>-1</v>
      </c>
      <c r="W61" s="50">
        <v>-1</v>
      </c>
      <c r="Y61" s="50">
        <v>2</v>
      </c>
    </row>
  </sheetData>
  <sheetProtection algorithmName="SHA-512" hashValue="SJB4ZJJOppFTIVL7R5qfg8D5RKS48JWC59jtS+YJCYuxtA7ZNPGRz1Hk9DrJaBl2FxhMpzCRICkb62rDsMNFVw==" saltValue="v5xIhq8yELEAwxSvadWfUA==" spinCount="100000" sheet="1" objects="1" scenarios="1"/>
  <mergeCells count="3">
    <mergeCell ref="K3:M3"/>
    <mergeCell ref="O3:Q3"/>
    <mergeCell ref="S3:U3"/>
  </mergeCells>
  <pageMargins left="0.5" right="0.25" top="1" bottom="0.5" header="0.3" footer="0.3"/>
  <pageSetup orientation="landscape" verticalDpi="0" r:id="rId1"/>
  <headerFooter>
    <oddHeader>&amp;L&amp;"-,Bold"&amp;14MUNICIPAL FIRE AND POLICE RETIREMENT SYSTEM OF IOWA
&amp;11SUPPLEMENTAL CHANGE IN PROPORTIONATE SHARE
AS OF JUNE 30, 2014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24"/>
  <sheetViews>
    <sheetView topLeftCell="A27" workbookViewId="0">
      <selection activeCell="D8" sqref="D8"/>
    </sheetView>
  </sheetViews>
  <sheetFormatPr defaultRowHeight="15" x14ac:dyDescent="0.25"/>
  <cols>
    <col min="1" max="2" width="3.7109375" customWidth="1"/>
    <col min="4" max="4" width="11" bestFit="1" customWidth="1"/>
    <col min="7" max="11" width="14.7109375" customWidth="1"/>
    <col min="12" max="12" width="16" bestFit="1" customWidth="1"/>
    <col min="13" max="14" width="14.7109375" customWidth="1"/>
    <col min="15" max="17" width="16" bestFit="1" customWidth="1"/>
    <col min="18" max="19" width="16" customWidth="1"/>
  </cols>
  <sheetData>
    <row r="1" spans="1:19" ht="15.75" x14ac:dyDescent="0.25">
      <c r="A1" s="75" t="s">
        <v>195</v>
      </c>
    </row>
    <row r="3" spans="1:19" x14ac:dyDescent="0.25">
      <c r="B3" s="10" t="s">
        <v>163</v>
      </c>
      <c r="C3" s="10"/>
      <c r="D3" s="10"/>
      <c r="E3" s="10"/>
      <c r="F3" s="10"/>
      <c r="G3" s="10"/>
      <c r="H3" s="10"/>
      <c r="I3" s="10" t="s">
        <v>164</v>
      </c>
      <c r="J3" s="10"/>
      <c r="K3" s="10"/>
    </row>
    <row r="4" spans="1:19" x14ac:dyDescent="0.25">
      <c r="B4" s="10" t="s">
        <v>165</v>
      </c>
    </row>
    <row r="5" spans="1:19" ht="18.75" customHeight="1" x14ac:dyDescent="0.25">
      <c r="A5" s="161" t="s">
        <v>215</v>
      </c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3"/>
    </row>
    <row r="6" spans="1:19" ht="18.75" customHeight="1" x14ac:dyDescent="0.25">
      <c r="A6" s="164"/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6"/>
    </row>
    <row r="9" spans="1:19" x14ac:dyDescent="0.25">
      <c r="F9" s="5" t="s">
        <v>166</v>
      </c>
      <c r="G9" s="5" t="s">
        <v>167</v>
      </c>
      <c r="H9" s="5" t="s">
        <v>168</v>
      </c>
      <c r="I9" s="167" t="s">
        <v>169</v>
      </c>
      <c r="J9" s="167"/>
      <c r="K9" s="167"/>
      <c r="L9" s="167"/>
      <c r="M9" s="167"/>
      <c r="N9" s="167"/>
      <c r="O9" s="167"/>
      <c r="P9" s="167"/>
      <c r="Q9" s="167"/>
    </row>
    <row r="10" spans="1:19" x14ac:dyDescent="0.25">
      <c r="F10" s="22" t="s">
        <v>170</v>
      </c>
      <c r="G10" s="22" t="s">
        <v>171</v>
      </c>
      <c r="H10" s="22" t="s">
        <v>170</v>
      </c>
      <c r="I10" s="17">
        <v>2020</v>
      </c>
      <c r="J10" s="17">
        <v>2021</v>
      </c>
      <c r="K10" s="17">
        <v>2022</v>
      </c>
      <c r="L10" s="17">
        <v>2023</v>
      </c>
      <c r="M10" s="17">
        <v>2024</v>
      </c>
      <c r="N10" s="17">
        <v>2025</v>
      </c>
      <c r="O10" s="17">
        <v>2026</v>
      </c>
      <c r="P10" s="105">
        <v>2027</v>
      </c>
      <c r="Q10" s="105">
        <v>2028</v>
      </c>
      <c r="R10" s="105">
        <v>2029</v>
      </c>
      <c r="S10" s="105">
        <v>2030</v>
      </c>
    </row>
    <row r="11" spans="1:19" x14ac:dyDescent="0.25">
      <c r="B11" t="s">
        <v>172</v>
      </c>
    </row>
    <row r="12" spans="1:19" x14ac:dyDescent="0.25">
      <c r="F12">
        <v>2020</v>
      </c>
      <c r="G12" s="82">
        <f>'MFPRSI Supplemental info 2019'!U59</f>
        <v>5.3</v>
      </c>
      <c r="H12" s="104"/>
      <c r="I12" s="6">
        <f>ROUND(H12/G12,0)</f>
        <v>0</v>
      </c>
      <c r="J12" s="6">
        <f>ROUND(H12/G12,0)</f>
        <v>0</v>
      </c>
      <c r="K12" s="6">
        <f>ROUND(H12/G12,0)</f>
        <v>0</v>
      </c>
      <c r="L12" s="6">
        <f>ROUND(H12/G12,0)</f>
        <v>0</v>
      </c>
      <c r="M12" s="6">
        <f>ROUND(H12/G12,0)</f>
        <v>0</v>
      </c>
      <c r="N12" s="6">
        <f>$H12-I12-J12-K12-L12-M12</f>
        <v>0</v>
      </c>
      <c r="O12" s="6"/>
      <c r="P12" s="6"/>
      <c r="Q12" s="6"/>
    </row>
    <row r="13" spans="1:19" x14ac:dyDescent="0.25">
      <c r="F13">
        <v>2021</v>
      </c>
      <c r="G13" s="82">
        <f>'MFPRSI Supplemental info 2020'!U59</f>
        <v>5.3</v>
      </c>
      <c r="H13" s="104"/>
      <c r="I13" s="6"/>
      <c r="J13" s="6">
        <f>ROUND(H13/G13,0)</f>
        <v>0</v>
      </c>
      <c r="K13" s="6">
        <f>ROUND(H13/G13,0)</f>
        <v>0</v>
      </c>
      <c r="L13" s="6">
        <f>ROUND(H13/G13,0)</f>
        <v>0</v>
      </c>
      <c r="M13" s="6">
        <f>ROUND(H13/G13,0)</f>
        <v>0</v>
      </c>
      <c r="N13" s="6">
        <f>ROUND(H13/G13,0)</f>
        <v>0</v>
      </c>
      <c r="O13" s="6">
        <f>$H13-J13-K13-L13-M13-N13</f>
        <v>0</v>
      </c>
      <c r="P13" s="6"/>
      <c r="Q13" s="6"/>
    </row>
    <row r="14" spans="1:19" x14ac:dyDescent="0.25">
      <c r="F14">
        <v>2022</v>
      </c>
      <c r="G14" s="82">
        <f>'MFPRSI Supplemental info 2021'!U59</f>
        <v>5.3</v>
      </c>
      <c r="H14" s="104"/>
      <c r="I14" s="6"/>
      <c r="J14" s="6"/>
      <c r="K14" s="6">
        <f>ROUND(H14/G14,0)</f>
        <v>0</v>
      </c>
      <c r="L14" s="6">
        <f>ROUND(H14/G14,0)</f>
        <v>0</v>
      </c>
      <c r="M14" s="6">
        <f>ROUND(H14/G14,0)</f>
        <v>0</v>
      </c>
      <c r="N14" s="6">
        <f>ROUND(H14/G14,0)</f>
        <v>0</v>
      </c>
      <c r="O14" s="6">
        <f>ROUND(H14/G14,0)</f>
        <v>0</v>
      </c>
      <c r="P14" s="6">
        <f>$H14-K14-L14-M14-N14-O14</f>
        <v>0</v>
      </c>
      <c r="Q14" s="6"/>
    </row>
    <row r="15" spans="1:19" x14ac:dyDescent="0.25">
      <c r="F15">
        <v>2023</v>
      </c>
      <c r="G15" s="82">
        <f>'MFPRSI Supplemental info 2022'!U59</f>
        <v>5.3</v>
      </c>
      <c r="H15" s="104"/>
      <c r="I15" s="28"/>
      <c r="J15" s="28"/>
      <c r="K15" s="6"/>
      <c r="L15" s="6">
        <f>ROUND(H15/G15,0)</f>
        <v>0</v>
      </c>
      <c r="M15" s="6">
        <f>ROUND(H15/G15,0)</f>
        <v>0</v>
      </c>
      <c r="N15" s="6">
        <f>ROUND(H15/G15,0)</f>
        <v>0</v>
      </c>
      <c r="O15" s="6">
        <f>ROUND(H15/G15,0)</f>
        <v>0</v>
      </c>
      <c r="P15" s="6">
        <f>ROUND(H15/G15,0)</f>
        <v>0</v>
      </c>
      <c r="Q15" s="6">
        <f>$H15-L15-M15-N15-O15-P15</f>
        <v>0</v>
      </c>
    </row>
    <row r="16" spans="1:19" x14ac:dyDescent="0.25">
      <c r="F16">
        <v>2024</v>
      </c>
      <c r="G16" s="82">
        <f>'MFPRSI Supplemental info 2023'!U59</f>
        <v>5.0999999999999996</v>
      </c>
      <c r="H16" s="104"/>
      <c r="I16" s="28"/>
      <c r="J16" s="28"/>
      <c r="K16" s="6"/>
      <c r="L16" s="140"/>
      <c r="M16" s="6">
        <f>ROUND(H16/G16,0)</f>
        <v>0</v>
      </c>
      <c r="N16" s="6">
        <f>ROUND(H16/G16,0)</f>
        <v>0</v>
      </c>
      <c r="O16" s="6">
        <f>ROUND(H16/G16,0)</f>
        <v>0</v>
      </c>
      <c r="P16" s="6">
        <f>ROUND(H16/G16,0)</f>
        <v>0</v>
      </c>
      <c r="Q16" s="6">
        <f>ROUND(H16/G16,0)</f>
        <v>0</v>
      </c>
      <c r="R16" s="6">
        <f>$H16-M16-N16-O16-P16-Q16</f>
        <v>0</v>
      </c>
    </row>
    <row r="17" spans="2:19" x14ac:dyDescent="0.25">
      <c r="F17">
        <v>2025</v>
      </c>
      <c r="G17" s="82">
        <f>'MFPRSI Supplemental info 2024'!U59</f>
        <v>5.0999999999999996</v>
      </c>
      <c r="H17" s="79" t="e">
        <f>IF(calculator!K94&gt;0,calculator!K94,0)</f>
        <v>#N/A</v>
      </c>
      <c r="I17" s="28"/>
      <c r="J17" s="28"/>
      <c r="K17" s="6"/>
      <c r="L17" s="6"/>
      <c r="M17" s="6"/>
      <c r="N17" s="6" t="e">
        <f>ROUND(H17/G17,0)</f>
        <v>#N/A</v>
      </c>
      <c r="O17" s="6" t="e">
        <f>ROUND(H17/G17,0)</f>
        <v>#N/A</v>
      </c>
      <c r="P17" s="6" t="e">
        <f>ROUND(H17/G17,0)</f>
        <v>#N/A</v>
      </c>
      <c r="Q17" s="6" t="e">
        <f>ROUND(H17/G17,0)</f>
        <v>#N/A</v>
      </c>
      <c r="R17" s="6" t="e">
        <f>ROUND(H17/G17,0)</f>
        <v>#N/A</v>
      </c>
      <c r="S17" s="6" t="e">
        <f>$H17-N17-O17-P17-Q17-R17</f>
        <v>#N/A</v>
      </c>
    </row>
    <row r="18" spans="2:19" x14ac:dyDescent="0.25">
      <c r="I18" s="28"/>
      <c r="J18" s="28"/>
      <c r="K18" s="28"/>
      <c r="L18" s="28"/>
      <c r="M18" s="28"/>
      <c r="N18" s="28"/>
      <c r="O18" s="28"/>
      <c r="P18" s="28"/>
      <c r="Q18" s="28"/>
    </row>
    <row r="19" spans="2:19" x14ac:dyDescent="0.25">
      <c r="I19" s="28"/>
      <c r="J19" s="28"/>
      <c r="K19" s="28"/>
      <c r="L19" s="28"/>
      <c r="M19" s="28"/>
      <c r="N19" s="28"/>
      <c r="O19" s="28"/>
      <c r="P19" s="28"/>
      <c r="Q19" s="28"/>
    </row>
    <row r="20" spans="2:19" x14ac:dyDescent="0.25">
      <c r="C20" t="s">
        <v>173</v>
      </c>
      <c r="I20" s="76">
        <f>SUM(I12:I19)</f>
        <v>0</v>
      </c>
      <c r="J20" s="76">
        <f t="shared" ref="J20:O20" si="0">SUM(J12:J19)</f>
        <v>0</v>
      </c>
      <c r="K20" s="76">
        <f t="shared" si="0"/>
        <v>0</v>
      </c>
      <c r="L20" s="76">
        <f>SUM(L12:L19)</f>
        <v>0</v>
      </c>
      <c r="M20" s="76">
        <f t="shared" si="0"/>
        <v>0</v>
      </c>
      <c r="N20" s="76" t="e">
        <f t="shared" si="0"/>
        <v>#N/A</v>
      </c>
      <c r="O20" s="76" t="e">
        <f t="shared" si="0"/>
        <v>#N/A</v>
      </c>
      <c r="P20" s="76" t="e">
        <f t="shared" ref="P20" si="1">SUM(P12:P19)</f>
        <v>#N/A</v>
      </c>
      <c r="Q20" s="76" t="e">
        <f>SUM(Q12:Q19)</f>
        <v>#N/A</v>
      </c>
      <c r="R20" s="76" t="e">
        <f>SUM(R12:R19)</f>
        <v>#N/A</v>
      </c>
      <c r="S20" s="76" t="e">
        <f>SUM(S12:S19)</f>
        <v>#N/A</v>
      </c>
    </row>
    <row r="21" spans="2:19" x14ac:dyDescent="0.25">
      <c r="I21" s="28"/>
      <c r="J21" s="28"/>
      <c r="K21" s="28"/>
      <c r="L21" s="28"/>
      <c r="M21" s="28"/>
      <c r="N21" s="28"/>
      <c r="O21" s="28"/>
      <c r="P21" s="28"/>
      <c r="Q21" s="28"/>
    </row>
    <row r="22" spans="2:19" x14ac:dyDescent="0.25">
      <c r="I22" s="28"/>
      <c r="J22" s="28"/>
      <c r="K22" s="28"/>
      <c r="L22" s="28"/>
      <c r="M22" s="28"/>
      <c r="N22" s="28"/>
      <c r="O22" s="28"/>
      <c r="P22" s="28"/>
      <c r="Q22" s="28"/>
    </row>
    <row r="23" spans="2:19" x14ac:dyDescent="0.25">
      <c r="B23" t="s">
        <v>174</v>
      </c>
      <c r="I23" s="28"/>
      <c r="J23" s="28"/>
      <c r="K23" s="28"/>
      <c r="L23" s="28"/>
      <c r="M23" s="28"/>
      <c r="N23" s="28"/>
      <c r="O23" s="28"/>
      <c r="P23" s="28"/>
      <c r="Q23" s="28"/>
    </row>
    <row r="24" spans="2:19" x14ac:dyDescent="0.25">
      <c r="F24">
        <v>2020</v>
      </c>
      <c r="G24" s="82">
        <f>'MFPRSI Supplemental info 2019'!U59</f>
        <v>5.3</v>
      </c>
      <c r="H24" s="104"/>
      <c r="I24" s="6">
        <f>ROUND(H24/G24,0)</f>
        <v>0</v>
      </c>
      <c r="J24" s="6">
        <f>ROUND(H24/G24,0)</f>
        <v>0</v>
      </c>
      <c r="K24" s="6">
        <f>ROUND(H24/G24,0)</f>
        <v>0</v>
      </c>
      <c r="L24" s="6">
        <f>ROUND(H24/G24,0)</f>
        <v>0</v>
      </c>
      <c r="M24" s="6">
        <f>ROUND(H24/G24,0)</f>
        <v>0</v>
      </c>
      <c r="N24" s="6">
        <f>$H24-I24-J24-K24-L24-M24</f>
        <v>0</v>
      </c>
      <c r="O24" s="6"/>
      <c r="P24" s="6"/>
      <c r="Q24" s="6"/>
    </row>
    <row r="25" spans="2:19" x14ac:dyDescent="0.25">
      <c r="F25">
        <v>2021</v>
      </c>
      <c r="G25" s="82">
        <f>'MFPRSI Supplemental info 2020'!U59</f>
        <v>5.3</v>
      </c>
      <c r="H25" s="104"/>
      <c r="I25" s="6"/>
      <c r="J25" s="6">
        <f>ROUND(H25/G25,0)</f>
        <v>0</v>
      </c>
      <c r="K25" s="6">
        <f>ROUND(H25/G25,0)</f>
        <v>0</v>
      </c>
      <c r="L25" s="6">
        <f>ROUND(H25/G25,0)</f>
        <v>0</v>
      </c>
      <c r="M25" s="6">
        <f>ROUND(H25/G25,0)</f>
        <v>0</v>
      </c>
      <c r="N25" s="6">
        <f>ROUND(H25/G25,0)</f>
        <v>0</v>
      </c>
      <c r="O25" s="6">
        <f>$H25-J25-K25-L25-M25-N25</f>
        <v>0</v>
      </c>
      <c r="P25" s="6"/>
      <c r="Q25" s="6"/>
    </row>
    <row r="26" spans="2:19" x14ac:dyDescent="0.25">
      <c r="F26">
        <v>2022</v>
      </c>
      <c r="G26" s="82">
        <f>'MFPRSI Supplemental info 2021'!U59</f>
        <v>5.3</v>
      </c>
      <c r="H26" s="104"/>
      <c r="I26" s="6"/>
      <c r="J26" s="6"/>
      <c r="K26" s="6">
        <f>ROUND(H26/G26,0)</f>
        <v>0</v>
      </c>
      <c r="L26" s="6">
        <f>ROUND(H26/G26,0)</f>
        <v>0</v>
      </c>
      <c r="M26" s="6">
        <f>ROUND(H26/G26,0)</f>
        <v>0</v>
      </c>
      <c r="N26" s="6">
        <f>ROUND(H26/G26,0)</f>
        <v>0</v>
      </c>
      <c r="O26" s="6">
        <f>ROUND(H26/G26,0)</f>
        <v>0</v>
      </c>
      <c r="P26" s="6">
        <f>$H26-K26-L26-M26-N26-O26</f>
        <v>0</v>
      </c>
      <c r="Q26" s="6"/>
    </row>
    <row r="27" spans="2:19" x14ac:dyDescent="0.25">
      <c r="F27">
        <v>2023</v>
      </c>
      <c r="G27" s="82">
        <f>'MFPRSI Supplemental info 2022'!U59</f>
        <v>5.3</v>
      </c>
      <c r="H27" s="104"/>
      <c r="I27" s="6"/>
      <c r="J27" s="6"/>
      <c r="K27" s="6"/>
      <c r="L27" s="6">
        <f>ROUND(H27/G27,0)</f>
        <v>0</v>
      </c>
      <c r="M27" s="6">
        <f>ROUND(H27/G27,0)</f>
        <v>0</v>
      </c>
      <c r="N27" s="6">
        <f>ROUND(H27/G27,0)</f>
        <v>0</v>
      </c>
      <c r="O27" s="6">
        <f>ROUND(H27/G27,0)</f>
        <v>0</v>
      </c>
      <c r="P27" s="6">
        <f>ROUND(H27/G27,0)</f>
        <v>0</v>
      </c>
      <c r="Q27" s="6">
        <f>$H27-L27-M27-N27-O27-P27</f>
        <v>0</v>
      </c>
    </row>
    <row r="28" spans="2:19" x14ac:dyDescent="0.25">
      <c r="F28">
        <v>2024</v>
      </c>
      <c r="G28" s="82">
        <f>'MFPRSI Supplemental info 2023'!U59</f>
        <v>5.0999999999999996</v>
      </c>
      <c r="H28" s="104"/>
      <c r="I28" s="6"/>
      <c r="J28" s="6"/>
      <c r="K28" s="6"/>
      <c r="L28" s="139"/>
      <c r="M28" s="6">
        <f>ROUND(H28/G28,0)</f>
        <v>0</v>
      </c>
      <c r="N28" s="6">
        <f>ROUND(H28/G28,0)</f>
        <v>0</v>
      </c>
      <c r="O28" s="6">
        <f>ROUND(H28/G28,0)</f>
        <v>0</v>
      </c>
      <c r="P28" s="6">
        <f>ROUND(H28/G28,0)</f>
        <v>0</v>
      </c>
      <c r="Q28" s="6">
        <f>ROUND(H28/G28,0)</f>
        <v>0</v>
      </c>
      <c r="R28" s="6">
        <f>$H28-M28-N28-O28-P28-Q28</f>
        <v>0</v>
      </c>
    </row>
    <row r="29" spans="2:19" x14ac:dyDescent="0.25">
      <c r="F29">
        <v>2025</v>
      </c>
      <c r="G29" s="82">
        <f>'MFPRSI Supplemental info 2024'!U59</f>
        <v>5.0999999999999996</v>
      </c>
      <c r="H29" s="79" t="e">
        <f>IF(calculator!K94&lt;0,-calculator!K94,0)</f>
        <v>#N/A</v>
      </c>
      <c r="I29" s="6"/>
      <c r="J29" s="6"/>
      <c r="K29" s="6"/>
      <c r="L29" s="6"/>
      <c r="M29" s="6"/>
      <c r="N29" s="6" t="e">
        <f>ROUND(H29/G29,0)</f>
        <v>#N/A</v>
      </c>
      <c r="O29" s="6" t="e">
        <f>ROUND(H29/G29,0)</f>
        <v>#N/A</v>
      </c>
      <c r="P29" s="6" t="e">
        <f>ROUND(H29/G29,0)</f>
        <v>#N/A</v>
      </c>
      <c r="Q29" s="6" t="e">
        <f>ROUND(H29/G29,0)</f>
        <v>#N/A</v>
      </c>
      <c r="R29" s="6" t="e">
        <f>ROUND(H29/G29,0)</f>
        <v>#N/A</v>
      </c>
      <c r="S29" s="6" t="e">
        <f>$H29-N29-O29-P29-Q29-R29</f>
        <v>#N/A</v>
      </c>
    </row>
    <row r="30" spans="2:19" x14ac:dyDescent="0.25"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2:19" x14ac:dyDescent="0.25"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2:19" x14ac:dyDescent="0.25"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1:19" ht="15.75" thickBot="1" x14ac:dyDescent="0.3">
      <c r="C33" t="s">
        <v>175</v>
      </c>
      <c r="H33" s="6"/>
      <c r="I33" s="8">
        <f>SUM(I24:I32)</f>
        <v>0</v>
      </c>
      <c r="J33" s="8">
        <f t="shared" ref="J33:O33" si="2">SUM(J24:J32)</f>
        <v>0</v>
      </c>
      <c r="K33" s="8">
        <f t="shared" si="2"/>
        <v>0</v>
      </c>
      <c r="L33" s="8">
        <f t="shared" si="2"/>
        <v>0</v>
      </c>
      <c r="M33" s="8">
        <f t="shared" si="2"/>
        <v>0</v>
      </c>
      <c r="N33" s="8" t="e">
        <f>SUM(N24:N32)</f>
        <v>#N/A</v>
      </c>
      <c r="O33" s="8" t="e">
        <f t="shared" si="2"/>
        <v>#N/A</v>
      </c>
      <c r="P33" s="8" t="e">
        <f t="shared" ref="P33:S33" si="3">SUM(P24:P32)</f>
        <v>#N/A</v>
      </c>
      <c r="Q33" s="8" t="e">
        <f t="shared" si="3"/>
        <v>#N/A</v>
      </c>
      <c r="R33" s="8" t="e">
        <f t="shared" si="3"/>
        <v>#N/A</v>
      </c>
      <c r="S33" s="8" t="e">
        <f t="shared" si="3"/>
        <v>#N/A</v>
      </c>
    </row>
    <row r="34" spans="1:19" ht="15.75" thickTop="1" x14ac:dyDescent="0.25"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9" x14ac:dyDescent="0.25">
      <c r="I35" s="28"/>
      <c r="J35" s="28"/>
      <c r="K35" s="28"/>
      <c r="L35" s="28"/>
      <c r="M35" s="28"/>
      <c r="N35" s="28"/>
      <c r="O35" s="28"/>
      <c r="P35" s="28"/>
      <c r="Q35" s="28"/>
    </row>
    <row r="36" spans="1:19" x14ac:dyDescent="0.25">
      <c r="A36" s="2" t="s">
        <v>176</v>
      </c>
    </row>
    <row r="37" spans="1:19" x14ac:dyDescent="0.25">
      <c r="G37" s="141" t="s">
        <v>192</v>
      </c>
      <c r="H37" s="141"/>
      <c r="I37" s="141"/>
      <c r="J37" s="141"/>
      <c r="L37" s="160"/>
      <c r="M37" s="160"/>
      <c r="N37" s="160"/>
      <c r="O37" s="160"/>
    </row>
    <row r="38" spans="1:19" x14ac:dyDescent="0.25">
      <c r="B38" t="s">
        <v>177</v>
      </c>
      <c r="G38" s="5" t="s">
        <v>178</v>
      </c>
      <c r="H38" s="5" t="s">
        <v>179</v>
      </c>
      <c r="I38" s="5" t="s">
        <v>180</v>
      </c>
      <c r="L38" s="5"/>
      <c r="M38" s="5"/>
      <c r="N38" s="5"/>
    </row>
    <row r="39" spans="1:19" x14ac:dyDescent="0.25">
      <c r="B39" t="s">
        <v>181</v>
      </c>
      <c r="G39" s="22" t="s">
        <v>182</v>
      </c>
      <c r="H39" s="22" t="s">
        <v>183</v>
      </c>
      <c r="I39" s="22" t="s">
        <v>184</v>
      </c>
      <c r="J39" s="22" t="s">
        <v>185</v>
      </c>
      <c r="L39" s="5"/>
      <c r="M39" s="5"/>
      <c r="N39" s="5"/>
      <c r="O39" s="5"/>
      <c r="P39" s="5"/>
      <c r="Q39" s="5"/>
    </row>
    <row r="40" spans="1:19" x14ac:dyDescent="0.25">
      <c r="E40">
        <v>2026</v>
      </c>
      <c r="G40" s="73">
        <v>-16635649</v>
      </c>
      <c r="H40" s="6" t="e">
        <f>G40*D47</f>
        <v>#N/A</v>
      </c>
      <c r="I40" s="6" t="e">
        <f>+O20-O33</f>
        <v>#N/A</v>
      </c>
      <c r="J40" s="6" t="e">
        <f>SUM(H40:I40)</f>
        <v>#N/A</v>
      </c>
      <c r="K40" s="6"/>
      <c r="L40" s="80"/>
      <c r="M40" s="80"/>
      <c r="N40" s="80"/>
      <c r="O40" s="80"/>
      <c r="P40" s="80"/>
      <c r="Q40" s="80"/>
    </row>
    <row r="41" spans="1:19" x14ac:dyDescent="0.25">
      <c r="A41" s="2"/>
      <c r="E41">
        <v>2027</v>
      </c>
      <c r="G41" s="73">
        <v>99615699</v>
      </c>
      <c r="H41" s="6" t="e">
        <f>G41*D47</f>
        <v>#N/A</v>
      </c>
      <c r="I41" s="6" t="e">
        <f>+P20-P33</f>
        <v>#N/A</v>
      </c>
      <c r="J41" s="6" t="e">
        <f t="shared" ref="J41:J45" si="4">SUM(H41:I41)</f>
        <v>#N/A</v>
      </c>
      <c r="K41" s="6"/>
      <c r="L41" s="80"/>
      <c r="M41" s="80"/>
      <c r="N41" s="80"/>
      <c r="O41" s="80"/>
      <c r="P41" s="80"/>
      <c r="Q41" s="80"/>
    </row>
    <row r="42" spans="1:19" x14ac:dyDescent="0.25">
      <c r="E42">
        <v>2028</v>
      </c>
      <c r="G42" s="73">
        <v>24394422</v>
      </c>
      <c r="H42" s="6" t="e">
        <f>G42*D47</f>
        <v>#N/A</v>
      </c>
      <c r="I42" s="6" t="e">
        <f>+Q20-Q33</f>
        <v>#N/A</v>
      </c>
      <c r="J42" s="6" t="e">
        <f t="shared" si="4"/>
        <v>#N/A</v>
      </c>
      <c r="K42" s="6"/>
      <c r="L42" s="80"/>
      <c r="M42" s="80"/>
      <c r="N42" s="80"/>
      <c r="O42" s="80"/>
      <c r="P42" s="80"/>
      <c r="Q42" s="80"/>
    </row>
    <row r="43" spans="1:19" x14ac:dyDescent="0.25">
      <c r="E43">
        <v>2029</v>
      </c>
      <c r="G43" s="73">
        <v>8002054</v>
      </c>
      <c r="H43" s="6" t="e">
        <f>G43*D47</f>
        <v>#N/A</v>
      </c>
      <c r="I43" s="6" t="e">
        <f>+R20-R33</f>
        <v>#N/A</v>
      </c>
      <c r="J43" s="6" t="e">
        <f t="shared" si="4"/>
        <v>#N/A</v>
      </c>
      <c r="K43" s="6"/>
      <c r="L43" s="80"/>
      <c r="M43" s="80"/>
      <c r="N43" s="80"/>
      <c r="O43" s="80"/>
      <c r="P43" s="80"/>
      <c r="Q43" s="80"/>
    </row>
    <row r="44" spans="1:19" x14ac:dyDescent="0.25">
      <c r="E44">
        <v>2030</v>
      </c>
      <c r="G44" s="73">
        <v>913771</v>
      </c>
      <c r="H44" s="6" t="e">
        <f>G44*D47</f>
        <v>#N/A</v>
      </c>
      <c r="I44" s="6" t="e">
        <f>+S20-S33</f>
        <v>#N/A</v>
      </c>
      <c r="J44" s="6" t="e">
        <f t="shared" si="4"/>
        <v>#N/A</v>
      </c>
      <c r="K44" s="6"/>
      <c r="L44" s="80"/>
      <c r="M44" s="80"/>
      <c r="N44" s="80"/>
      <c r="O44" s="80"/>
      <c r="P44" s="80"/>
      <c r="Q44" s="80"/>
    </row>
    <row r="45" spans="1:19" x14ac:dyDescent="0.25">
      <c r="E45" s="45" t="s">
        <v>186</v>
      </c>
      <c r="G45" s="77">
        <v>0</v>
      </c>
      <c r="H45" s="6" t="e">
        <f>G45*D47</f>
        <v>#N/A</v>
      </c>
      <c r="I45" s="6"/>
      <c r="J45" s="6" t="e">
        <f t="shared" si="4"/>
        <v>#N/A</v>
      </c>
      <c r="K45" s="6"/>
      <c r="L45" s="80"/>
      <c r="M45" s="80"/>
      <c r="N45" s="80"/>
      <c r="O45" s="80"/>
      <c r="P45" s="80"/>
      <c r="Q45" s="80"/>
    </row>
    <row r="46" spans="1:19" ht="15.75" thickBot="1" x14ac:dyDescent="0.3">
      <c r="E46" t="s">
        <v>187</v>
      </c>
      <c r="G46" s="8">
        <f>SUM(G40:G45)</f>
        <v>116290297</v>
      </c>
      <c r="H46" s="8" t="e">
        <f>SUM(H40:H45)</f>
        <v>#N/A</v>
      </c>
      <c r="I46" s="8" t="e">
        <f>SUM(I40:I45)</f>
        <v>#N/A</v>
      </c>
      <c r="J46" s="8" t="e">
        <f>SUM(J40:J45)</f>
        <v>#N/A</v>
      </c>
      <c r="K46" s="6"/>
      <c r="L46" s="80"/>
      <c r="M46" s="80"/>
      <c r="N46" s="80"/>
      <c r="O46" s="80"/>
      <c r="P46" s="80"/>
      <c r="Q46" s="80"/>
    </row>
    <row r="47" spans="1:19" ht="16.5" thickTop="1" thickBot="1" x14ac:dyDescent="0.3">
      <c r="A47" t="s">
        <v>188</v>
      </c>
      <c r="D47" s="78" t="e">
        <f>calculator!G16</f>
        <v>#N/A</v>
      </c>
      <c r="G47" s="6"/>
      <c r="H47" t="s">
        <v>189</v>
      </c>
      <c r="I47" s="6"/>
      <c r="J47" s="6"/>
      <c r="K47" s="6"/>
      <c r="L47" s="80"/>
      <c r="N47" s="80"/>
      <c r="O47" s="80"/>
      <c r="P47" s="80"/>
      <c r="Q47" s="80"/>
    </row>
    <row r="48" spans="1:19" ht="15.75" thickTop="1" x14ac:dyDescent="0.25"/>
    <row r="124" spans="9:11" x14ac:dyDescent="0.25">
      <c r="I124">
        <f>P51</f>
        <v>0</v>
      </c>
      <c r="K124">
        <f>R51</f>
        <v>0</v>
      </c>
    </row>
  </sheetData>
  <mergeCells count="4">
    <mergeCell ref="G37:J37"/>
    <mergeCell ref="L37:O37"/>
    <mergeCell ref="A5:O6"/>
    <mergeCell ref="I9:Q9"/>
  </mergeCells>
  <pageMargins left="0.7" right="0.7" top="0.75" bottom="0.75" header="0.3" footer="0.3"/>
  <pageSetup scale="28" orientation="landscape" r:id="rId1"/>
  <headerFooter>
    <oddFooter>&amp;L&amp;Z&amp;F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5FE01-46BE-4743-ADD6-0772B6A07AF5}">
  <dimension ref="A1:AA61"/>
  <sheetViews>
    <sheetView workbookViewId="0">
      <selection activeCell="U61" sqref="U61"/>
    </sheetView>
  </sheetViews>
  <sheetFormatPr defaultRowHeight="15" x14ac:dyDescent="0.25"/>
  <cols>
    <col min="1" max="1" width="3.5703125" style="46" bestFit="1" customWidth="1"/>
    <col min="2" max="2" width="15" style="50" bestFit="1" customWidth="1"/>
    <col min="3" max="3" width="10.7109375" style="85" bestFit="1" customWidth="1"/>
    <col min="4" max="4" width="10.7109375" style="90" bestFit="1" customWidth="1"/>
    <col min="5" max="5" width="11.140625" style="90" bestFit="1" customWidth="1"/>
    <col min="6" max="6" width="10.7109375" style="90" bestFit="1" customWidth="1"/>
    <col min="7" max="7" width="9.7109375" style="90" bestFit="1" customWidth="1"/>
    <col min="8" max="9" width="9.85546875" style="90" bestFit="1" customWidth="1"/>
    <col min="10" max="10" width="11.140625" style="121" customWidth="1"/>
    <col min="11" max="11" width="8.7109375" style="50" bestFit="1" customWidth="1"/>
    <col min="12" max="12" width="9.28515625" style="50" bestFit="1" customWidth="1"/>
    <col min="13" max="13" width="9.7109375" style="50" bestFit="1" customWidth="1"/>
    <col min="14" max="14" width="0.85546875" style="50" customWidth="1"/>
    <col min="15" max="15" width="10.7109375" style="50" bestFit="1" customWidth="1"/>
    <col min="16" max="16" width="12.42578125" style="51" bestFit="1" customWidth="1"/>
    <col min="17" max="17" width="10.7109375" style="50" customWidth="1"/>
    <col min="18" max="18" width="2.28515625" style="50" customWidth="1"/>
    <col min="19" max="19" width="10.7109375" style="50" bestFit="1" customWidth="1"/>
    <col min="20" max="20" width="11.7109375" style="50" customWidth="1"/>
    <col min="21" max="21" width="12.7109375" style="50" bestFit="1" customWidth="1"/>
    <col min="22" max="22" width="2.28515625" style="50" customWidth="1"/>
    <col min="23" max="23" width="12.7109375" style="50" bestFit="1" customWidth="1"/>
    <col min="24" max="24" width="2.28515625" style="50" customWidth="1"/>
    <col min="25" max="25" width="11.140625" style="50" bestFit="1" customWidth="1"/>
    <col min="27" max="27" width="12.5703125" bestFit="1" customWidth="1"/>
  </cols>
  <sheetData>
    <row r="1" spans="1:27" s="130" customFormat="1" x14ac:dyDescent="0.25">
      <c r="A1" s="119"/>
      <c r="B1" s="68"/>
      <c r="C1" s="120" t="s">
        <v>157</v>
      </c>
      <c r="D1" s="121"/>
      <c r="E1" s="121"/>
      <c r="F1" s="121"/>
      <c r="G1" s="121"/>
      <c r="H1" s="121"/>
      <c r="I1" s="121"/>
      <c r="J1" s="121"/>
      <c r="K1" s="68"/>
      <c r="L1" s="68"/>
      <c r="M1" s="68"/>
      <c r="N1" s="68"/>
      <c r="O1" s="120" t="s">
        <v>158</v>
      </c>
      <c r="P1" s="122"/>
      <c r="Q1" s="68"/>
      <c r="R1" s="68"/>
      <c r="S1" s="68"/>
      <c r="T1" s="68"/>
      <c r="U1" s="68"/>
      <c r="V1" s="68"/>
      <c r="W1" s="68"/>
      <c r="X1" s="68"/>
      <c r="Y1" s="68"/>
    </row>
    <row r="2" spans="1:27" x14ac:dyDescent="0.25">
      <c r="A2" s="106"/>
      <c r="B2" s="107"/>
      <c r="C2" s="110"/>
      <c r="D2" s="108"/>
      <c r="E2" s="108"/>
      <c r="F2" s="108"/>
      <c r="G2" s="108"/>
      <c r="H2" s="121"/>
      <c r="I2" s="121"/>
      <c r="K2" s="107"/>
      <c r="L2" s="107"/>
      <c r="M2" s="107"/>
      <c r="N2" s="107"/>
      <c r="O2" s="107"/>
      <c r="P2" s="109"/>
      <c r="Q2" s="107"/>
      <c r="R2" s="107"/>
      <c r="S2" s="107"/>
      <c r="T2" s="107"/>
      <c r="U2" s="107"/>
      <c r="V2" s="107"/>
      <c r="W2" s="107"/>
      <c r="X2" s="107"/>
      <c r="Y2" s="107"/>
    </row>
    <row r="3" spans="1:27" x14ac:dyDescent="0.25">
      <c r="A3" s="106"/>
      <c r="B3" s="107"/>
      <c r="C3" s="110"/>
      <c r="D3" s="108"/>
      <c r="E3" s="108"/>
      <c r="F3" s="108"/>
      <c r="G3" s="108"/>
      <c r="H3" s="115" t="s">
        <v>78</v>
      </c>
      <c r="I3" s="121"/>
      <c r="K3" s="168" t="s">
        <v>79</v>
      </c>
      <c r="L3" s="168"/>
      <c r="M3" s="168"/>
      <c r="N3" s="107"/>
      <c r="O3" s="169" t="s">
        <v>27</v>
      </c>
      <c r="P3" s="169"/>
      <c r="Q3" s="169"/>
      <c r="R3" s="107"/>
      <c r="S3" s="169" t="s">
        <v>30</v>
      </c>
      <c r="T3" s="169"/>
      <c r="U3" s="169"/>
      <c r="V3" s="107"/>
      <c r="W3" s="107"/>
      <c r="X3" s="107"/>
      <c r="Y3" s="107"/>
    </row>
    <row r="4" spans="1:27" x14ac:dyDescent="0.25">
      <c r="A4" s="119"/>
      <c r="B4" s="68"/>
      <c r="C4" s="113">
        <v>45107</v>
      </c>
      <c r="D4" s="113">
        <v>45473</v>
      </c>
      <c r="E4" s="113">
        <v>45107</v>
      </c>
      <c r="F4" s="108"/>
      <c r="G4" s="115" t="s">
        <v>80</v>
      </c>
      <c r="H4" s="115" t="s">
        <v>49</v>
      </c>
      <c r="I4" s="115" t="s">
        <v>49</v>
      </c>
      <c r="J4" s="115" t="s">
        <v>81</v>
      </c>
      <c r="K4" s="68"/>
      <c r="L4" s="68"/>
      <c r="M4" s="68"/>
      <c r="N4" s="107"/>
      <c r="O4" s="115" t="s">
        <v>82</v>
      </c>
      <c r="P4" s="122"/>
      <c r="Q4" s="115" t="s">
        <v>83</v>
      </c>
      <c r="R4" s="135"/>
      <c r="S4" s="115" t="s">
        <v>82</v>
      </c>
      <c r="T4" s="68"/>
      <c r="U4" s="115" t="s">
        <v>83</v>
      </c>
      <c r="V4" s="135"/>
      <c r="W4" s="115" t="s">
        <v>159</v>
      </c>
      <c r="X4" s="135"/>
      <c r="Y4" s="119" t="s">
        <v>84</v>
      </c>
    </row>
    <row r="5" spans="1:27" x14ac:dyDescent="0.25">
      <c r="A5" s="119" t="s">
        <v>154</v>
      </c>
      <c r="B5" s="68"/>
      <c r="C5" s="114" t="s">
        <v>85</v>
      </c>
      <c r="D5" s="114" t="s">
        <v>85</v>
      </c>
      <c r="E5" s="115" t="s">
        <v>86</v>
      </c>
      <c r="F5" s="115" t="s">
        <v>87</v>
      </c>
      <c r="G5" s="115" t="s">
        <v>85</v>
      </c>
      <c r="H5" s="115" t="s">
        <v>88</v>
      </c>
      <c r="I5" s="115" t="s">
        <v>88</v>
      </c>
      <c r="J5" s="115" t="s">
        <v>89</v>
      </c>
      <c r="K5" s="115" t="s">
        <v>90</v>
      </c>
      <c r="L5" s="119" t="s">
        <v>91</v>
      </c>
      <c r="M5" s="119" t="s">
        <v>91</v>
      </c>
      <c r="N5" s="107"/>
      <c r="O5" s="119" t="s">
        <v>92</v>
      </c>
      <c r="P5" s="124" t="s">
        <v>160</v>
      </c>
      <c r="Q5" s="119" t="s">
        <v>92</v>
      </c>
      <c r="R5" s="106"/>
      <c r="S5" s="119" t="s">
        <v>92</v>
      </c>
      <c r="T5" s="115" t="s">
        <v>160</v>
      </c>
      <c r="U5" s="119" t="s">
        <v>92</v>
      </c>
      <c r="V5" s="106"/>
      <c r="W5" s="115" t="s">
        <v>87</v>
      </c>
      <c r="X5" s="135"/>
      <c r="Y5" s="119" t="s">
        <v>90</v>
      </c>
    </row>
    <row r="6" spans="1:27" ht="20.100000000000001" customHeight="1" x14ac:dyDescent="0.35">
      <c r="A6" s="125" t="s">
        <v>155</v>
      </c>
      <c r="B6" s="57" t="s">
        <v>93</v>
      </c>
      <c r="C6" s="116" t="s">
        <v>94</v>
      </c>
      <c r="D6" s="116" t="s">
        <v>94</v>
      </c>
      <c r="E6" s="117" t="s">
        <v>95</v>
      </c>
      <c r="F6" s="118">
        <v>45107</v>
      </c>
      <c r="G6" s="117" t="s">
        <v>96</v>
      </c>
      <c r="H6" s="117" t="s">
        <v>97</v>
      </c>
      <c r="I6" s="117" t="s">
        <v>97</v>
      </c>
      <c r="J6" s="117" t="s">
        <v>98</v>
      </c>
      <c r="K6" s="117" t="s">
        <v>56</v>
      </c>
      <c r="L6" s="117" t="s">
        <v>99</v>
      </c>
      <c r="M6" s="126" t="s">
        <v>100</v>
      </c>
      <c r="N6" s="107"/>
      <c r="O6" s="126" t="s">
        <v>101</v>
      </c>
      <c r="P6" s="127" t="s">
        <v>102</v>
      </c>
      <c r="Q6" s="126" t="s">
        <v>103</v>
      </c>
      <c r="R6" s="137"/>
      <c r="S6" s="126" t="s">
        <v>101</v>
      </c>
      <c r="T6" s="126" t="s">
        <v>102</v>
      </c>
      <c r="U6" s="126" t="s">
        <v>103</v>
      </c>
      <c r="V6" s="137"/>
      <c r="W6" s="118">
        <v>45473</v>
      </c>
      <c r="X6" s="136"/>
      <c r="Y6" s="126" t="s">
        <v>56</v>
      </c>
    </row>
    <row r="7" spans="1:27" ht="20.100000000000001" customHeight="1" x14ac:dyDescent="0.25">
      <c r="A7" s="119">
        <v>101</v>
      </c>
      <c r="B7" s="63" t="s">
        <v>104</v>
      </c>
      <c r="C7" s="123">
        <f>'MFPRSI Supplemental info 2023'!D7</f>
        <v>2.5360319999999999E-2</v>
      </c>
      <c r="D7" s="123">
        <v>2.4901880000000001E-2</v>
      </c>
      <c r="E7" s="128">
        <f>'MFPRSI Supplemental info 2023'!W7</f>
        <v>15880608</v>
      </c>
      <c r="F7" s="128">
        <f>ROUND($E$57*D7,0)</f>
        <v>15593534</v>
      </c>
      <c r="G7" s="128">
        <f>F7-E7</f>
        <v>-287074</v>
      </c>
      <c r="H7" s="128">
        <f>ROUND(D7*$U$60,0)</f>
        <v>2148157</v>
      </c>
      <c r="I7" s="128">
        <f>H7</f>
        <v>2148157</v>
      </c>
      <c r="J7" s="128">
        <f>H7-I7</f>
        <v>0</v>
      </c>
      <c r="K7" s="122">
        <f>ROUND((G7+J7)/$U$59,0)</f>
        <v>-56289</v>
      </c>
      <c r="L7" s="129">
        <f>IF(K7&lt;0,0,G7+J7-K7)</f>
        <v>0</v>
      </c>
      <c r="M7" s="122">
        <f>IF(G7&lt;0,(G7+J7-K7),0)</f>
        <v>-230785</v>
      </c>
      <c r="N7" s="107"/>
      <c r="O7" s="122">
        <v>1735141</v>
      </c>
      <c r="P7" s="128">
        <v>59396</v>
      </c>
      <c r="Q7" s="122">
        <v>4239528</v>
      </c>
      <c r="R7" s="107"/>
      <c r="S7" s="128">
        <v>0</v>
      </c>
      <c r="T7" s="122">
        <v>0</v>
      </c>
      <c r="U7" s="128">
        <v>-3138218</v>
      </c>
      <c r="V7" s="107"/>
      <c r="W7" s="128">
        <v>16454725</v>
      </c>
      <c r="X7" s="111"/>
      <c r="Y7" s="128">
        <v>2376344</v>
      </c>
      <c r="AA7" s="40"/>
    </row>
    <row r="8" spans="1:27" ht="20.100000000000001" customHeight="1" x14ac:dyDescent="0.25">
      <c r="A8" s="119">
        <v>102</v>
      </c>
      <c r="B8" s="63" t="s">
        <v>105</v>
      </c>
      <c r="C8" s="123">
        <f>'MFPRSI Supplemental info 2023'!D8</f>
        <v>3.106217E-2</v>
      </c>
      <c r="D8" s="123">
        <v>3.0817319999999999E-2</v>
      </c>
      <c r="E8" s="128">
        <f>'MFPRSI Supplemental info 2023'!W8</f>
        <v>19451101</v>
      </c>
      <c r="F8" s="128">
        <f t="shared" ref="F8:F54" si="0">ROUND($E$57*D8,0)</f>
        <v>19297777</v>
      </c>
      <c r="G8" s="128">
        <f t="shared" ref="G8:G55" si="1">F8-E8</f>
        <v>-153324</v>
      </c>
      <c r="H8" s="128">
        <f t="shared" ref="H8:H55" si="2">ROUND(D8*$U$60,0)</f>
        <v>2658452</v>
      </c>
      <c r="I8" s="128">
        <f t="shared" ref="I8:I55" si="3">H8</f>
        <v>2658452</v>
      </c>
      <c r="J8" s="128">
        <f t="shared" ref="J8:J55" si="4">H8-I8</f>
        <v>0</v>
      </c>
      <c r="K8" s="122">
        <f t="shared" ref="K8:K55" si="5">ROUND((G8+J8)/$U$59,0)</f>
        <v>-30064</v>
      </c>
      <c r="L8" s="122">
        <f t="shared" ref="L8:L55" si="6">IF(K8&lt;0,0,G8+J8-K8)</f>
        <v>0</v>
      </c>
      <c r="M8" s="122">
        <f t="shared" ref="M8:M55" si="7">IF(G8&lt;0,(G8+J8-K8),0)</f>
        <v>-123260</v>
      </c>
      <c r="N8" s="107"/>
      <c r="O8" s="122">
        <v>2147324</v>
      </c>
      <c r="P8" s="128">
        <v>73505</v>
      </c>
      <c r="Q8" s="122">
        <v>5246628</v>
      </c>
      <c r="R8" s="107"/>
      <c r="S8" s="128">
        <v>0</v>
      </c>
      <c r="T8" s="122">
        <v>0</v>
      </c>
      <c r="U8" s="128">
        <v>-3883701</v>
      </c>
      <c r="V8" s="107"/>
      <c r="W8" s="128">
        <v>20363544</v>
      </c>
      <c r="X8" s="111"/>
      <c r="Y8" s="128">
        <v>2940844</v>
      </c>
      <c r="AA8" s="40"/>
    </row>
    <row r="9" spans="1:27" ht="20.100000000000001" customHeight="1" x14ac:dyDescent="0.25">
      <c r="A9" s="119">
        <v>103</v>
      </c>
      <c r="B9" s="63" t="s">
        <v>106</v>
      </c>
      <c r="C9" s="123">
        <f>'MFPRSI Supplemental info 2023'!D9</f>
        <v>1.9883720000000001E-2</v>
      </c>
      <c r="D9" s="123">
        <v>2.0507629999999999E-2</v>
      </c>
      <c r="E9" s="128">
        <f>'MFPRSI Supplemental info 2023'!W9</f>
        <v>12451167</v>
      </c>
      <c r="F9" s="128">
        <f t="shared" si="0"/>
        <v>12841858</v>
      </c>
      <c r="G9" s="128">
        <f t="shared" si="1"/>
        <v>390691</v>
      </c>
      <c r="H9" s="128">
        <f t="shared" si="2"/>
        <v>1769088</v>
      </c>
      <c r="I9" s="128">
        <f t="shared" si="3"/>
        <v>1769088</v>
      </c>
      <c r="J9" s="128">
        <f t="shared" si="4"/>
        <v>0</v>
      </c>
      <c r="K9" s="122">
        <f t="shared" si="5"/>
        <v>76606</v>
      </c>
      <c r="L9" s="122">
        <f t="shared" si="6"/>
        <v>314085</v>
      </c>
      <c r="M9" s="122">
        <f t="shared" si="7"/>
        <v>0</v>
      </c>
      <c r="N9" s="107"/>
      <c r="O9" s="122">
        <v>1428954</v>
      </c>
      <c r="P9" s="128">
        <v>48915</v>
      </c>
      <c r="Q9" s="122">
        <v>3491410</v>
      </c>
      <c r="R9" s="107"/>
      <c r="S9" s="128">
        <v>0</v>
      </c>
      <c r="T9" s="122">
        <v>0</v>
      </c>
      <c r="U9" s="128">
        <v>-2584440</v>
      </c>
      <c r="V9" s="107"/>
      <c r="W9" s="128">
        <v>13551082</v>
      </c>
      <c r="X9" s="111"/>
      <c r="Y9" s="128">
        <v>1957008</v>
      </c>
      <c r="AA9" s="40"/>
    </row>
    <row r="10" spans="1:27" ht="20.100000000000001" customHeight="1" x14ac:dyDescent="0.25">
      <c r="A10" s="119">
        <v>104</v>
      </c>
      <c r="B10" s="63" t="s">
        <v>107</v>
      </c>
      <c r="C10" s="123">
        <f>'MFPRSI Supplemental info 2023'!D10</f>
        <v>5.3001400000000001E-3</v>
      </c>
      <c r="D10" s="123">
        <v>5.6597599999999998E-3</v>
      </c>
      <c r="E10" s="128">
        <f>'MFPRSI Supplemental info 2023'!W10</f>
        <v>3318943</v>
      </c>
      <c r="F10" s="128">
        <f t="shared" si="0"/>
        <v>3544136</v>
      </c>
      <c r="G10" s="128">
        <f t="shared" si="1"/>
        <v>225193</v>
      </c>
      <c r="H10" s="128">
        <f t="shared" si="2"/>
        <v>488238</v>
      </c>
      <c r="I10" s="128">
        <f t="shared" si="3"/>
        <v>488238</v>
      </c>
      <c r="J10" s="128">
        <f t="shared" si="4"/>
        <v>0</v>
      </c>
      <c r="K10" s="122">
        <f t="shared" si="5"/>
        <v>44155</v>
      </c>
      <c r="L10" s="122">
        <f t="shared" si="6"/>
        <v>181038</v>
      </c>
      <c r="M10" s="122">
        <f t="shared" si="7"/>
        <v>0</v>
      </c>
      <c r="N10" s="107"/>
      <c r="O10" s="122">
        <v>394367</v>
      </c>
      <c r="P10" s="128">
        <v>13500</v>
      </c>
      <c r="Q10" s="122">
        <v>963570</v>
      </c>
      <c r="R10" s="107"/>
      <c r="S10" s="128">
        <v>0</v>
      </c>
      <c r="T10" s="122">
        <v>0</v>
      </c>
      <c r="U10" s="128">
        <v>-713262</v>
      </c>
      <c r="V10" s="107"/>
      <c r="W10" s="128">
        <v>3739870</v>
      </c>
      <c r="X10" s="111"/>
      <c r="Y10" s="128">
        <v>540101</v>
      </c>
      <c r="AA10" s="40"/>
    </row>
    <row r="11" spans="1:27" ht="20.100000000000001" customHeight="1" x14ac:dyDescent="0.25">
      <c r="A11" s="119">
        <v>105</v>
      </c>
      <c r="B11" s="63" t="s">
        <v>108</v>
      </c>
      <c r="C11" s="123">
        <f>'MFPRSI Supplemental info 2023'!D11</f>
        <v>1.704456E-2</v>
      </c>
      <c r="D11" s="123">
        <v>1.5675430000000001E-2</v>
      </c>
      <c r="E11" s="128">
        <f>'MFPRSI Supplemental info 2023'!W11</f>
        <v>10673287</v>
      </c>
      <c r="F11" s="128">
        <f t="shared" si="0"/>
        <v>9815939</v>
      </c>
      <c r="G11" s="128">
        <f t="shared" si="1"/>
        <v>-857348</v>
      </c>
      <c r="H11" s="128">
        <f t="shared" si="2"/>
        <v>1352239</v>
      </c>
      <c r="I11" s="128">
        <f t="shared" si="3"/>
        <v>1352239</v>
      </c>
      <c r="J11" s="128">
        <f t="shared" si="4"/>
        <v>0</v>
      </c>
      <c r="K11" s="122">
        <f t="shared" si="5"/>
        <v>-168107</v>
      </c>
      <c r="L11" s="122">
        <f t="shared" si="6"/>
        <v>0</v>
      </c>
      <c r="M11" s="122">
        <f t="shared" si="7"/>
        <v>-689241</v>
      </c>
      <c r="N11" s="107"/>
      <c r="O11" s="122">
        <v>1092250</v>
      </c>
      <c r="P11" s="128">
        <v>37389</v>
      </c>
      <c r="Q11" s="122">
        <v>2668731</v>
      </c>
      <c r="R11" s="107"/>
      <c r="S11" s="128">
        <v>0</v>
      </c>
      <c r="T11" s="122">
        <v>0</v>
      </c>
      <c r="U11" s="128">
        <v>-1975470</v>
      </c>
      <c r="V11" s="107"/>
      <c r="W11" s="128">
        <v>10358049</v>
      </c>
      <c r="X11" s="111"/>
      <c r="Y11" s="128">
        <v>1495879</v>
      </c>
      <c r="AA11" s="40"/>
    </row>
    <row r="12" spans="1:27" ht="20.100000000000001" customHeight="1" x14ac:dyDescent="0.25">
      <c r="A12" s="119">
        <v>106</v>
      </c>
      <c r="B12" s="63" t="s">
        <v>109</v>
      </c>
      <c r="C12" s="123">
        <f>'MFPRSI Supplemental info 2023'!D12</f>
        <v>2.7178800000000002E-3</v>
      </c>
      <c r="D12" s="123">
        <v>2.6467600000000002E-3</v>
      </c>
      <c r="E12" s="128">
        <f>'MFPRSI Supplemental info 2023'!W12</f>
        <v>1701934</v>
      </c>
      <c r="F12" s="128">
        <f t="shared" si="0"/>
        <v>1657399</v>
      </c>
      <c r="G12" s="128">
        <f t="shared" si="1"/>
        <v>-44535</v>
      </c>
      <c r="H12" s="128">
        <f t="shared" si="2"/>
        <v>228322</v>
      </c>
      <c r="I12" s="128">
        <f t="shared" si="3"/>
        <v>228322</v>
      </c>
      <c r="J12" s="128">
        <f t="shared" si="4"/>
        <v>0</v>
      </c>
      <c r="K12" s="122">
        <f t="shared" si="5"/>
        <v>-8732</v>
      </c>
      <c r="L12" s="122">
        <f t="shared" si="6"/>
        <v>0</v>
      </c>
      <c r="M12" s="122">
        <f t="shared" si="7"/>
        <v>-35803</v>
      </c>
      <c r="N12" s="107"/>
      <c r="O12" s="122">
        <v>184424</v>
      </c>
      <c r="P12" s="128">
        <v>6313</v>
      </c>
      <c r="Q12" s="122">
        <v>450609</v>
      </c>
      <c r="R12" s="107"/>
      <c r="S12" s="128">
        <v>0</v>
      </c>
      <c r="T12" s="122">
        <v>0</v>
      </c>
      <c r="U12" s="128">
        <v>-333554</v>
      </c>
      <c r="V12" s="107"/>
      <c r="W12" s="128">
        <v>1748933</v>
      </c>
      <c r="X12" s="111"/>
      <c r="Y12" s="128">
        <v>252576</v>
      </c>
      <c r="AA12" s="40"/>
    </row>
    <row r="13" spans="1:27" ht="20.100000000000001" customHeight="1" x14ac:dyDescent="0.25">
      <c r="A13" s="119">
        <v>107</v>
      </c>
      <c r="B13" s="63" t="s">
        <v>110</v>
      </c>
      <c r="C13" s="123">
        <f>'MFPRSI Supplemental info 2023'!D13</f>
        <v>2.9474000000000002E-3</v>
      </c>
      <c r="D13" s="123">
        <v>3.1600999999999999E-3</v>
      </c>
      <c r="E13" s="128">
        <f>'MFPRSI Supplemental info 2023'!W13</f>
        <v>1845659</v>
      </c>
      <c r="F13" s="128">
        <f t="shared" si="0"/>
        <v>1978852</v>
      </c>
      <c r="G13" s="128">
        <f t="shared" si="1"/>
        <v>133193</v>
      </c>
      <c r="H13" s="128">
        <f t="shared" si="2"/>
        <v>272606</v>
      </c>
      <c r="I13" s="128">
        <f t="shared" si="3"/>
        <v>272606</v>
      </c>
      <c r="J13" s="128">
        <f t="shared" si="4"/>
        <v>0</v>
      </c>
      <c r="K13" s="122">
        <f t="shared" si="5"/>
        <v>26116</v>
      </c>
      <c r="L13" s="122">
        <f t="shared" si="6"/>
        <v>107077</v>
      </c>
      <c r="M13" s="122">
        <f t="shared" si="7"/>
        <v>0</v>
      </c>
      <c r="N13" s="107"/>
      <c r="O13" s="122">
        <v>220193</v>
      </c>
      <c r="P13" s="128">
        <v>7537</v>
      </c>
      <c r="Q13" s="122">
        <v>538005</v>
      </c>
      <c r="R13" s="107"/>
      <c r="S13" s="128">
        <v>0</v>
      </c>
      <c r="T13" s="122">
        <v>0</v>
      </c>
      <c r="U13" s="128">
        <v>-398246</v>
      </c>
      <c r="V13" s="107"/>
      <c r="W13" s="128">
        <v>2088139</v>
      </c>
      <c r="X13" s="111"/>
      <c r="Y13" s="128">
        <v>301563</v>
      </c>
      <c r="AA13" s="40"/>
    </row>
    <row r="14" spans="1:27" ht="20.100000000000001" customHeight="1" x14ac:dyDescent="0.25">
      <c r="A14" s="119">
        <v>108</v>
      </c>
      <c r="B14" s="63" t="s">
        <v>111</v>
      </c>
      <c r="C14" s="123">
        <f>'MFPRSI Supplemental info 2023'!D14</f>
        <v>1.844643E-2</v>
      </c>
      <c r="D14" s="123">
        <v>1.8534309999999998E-2</v>
      </c>
      <c r="E14" s="128">
        <f>'MFPRSI Supplemental info 2023'!W14</f>
        <v>11551137</v>
      </c>
      <c r="F14" s="128">
        <f t="shared" si="0"/>
        <v>11606167</v>
      </c>
      <c r="G14" s="128">
        <f t="shared" si="1"/>
        <v>55030</v>
      </c>
      <c r="H14" s="128">
        <f t="shared" si="2"/>
        <v>1598860</v>
      </c>
      <c r="I14" s="128">
        <f t="shared" si="3"/>
        <v>1598860</v>
      </c>
      <c r="J14" s="128">
        <f t="shared" si="4"/>
        <v>0</v>
      </c>
      <c r="K14" s="122">
        <f t="shared" si="5"/>
        <v>10790</v>
      </c>
      <c r="L14" s="122">
        <f t="shared" si="6"/>
        <v>44240</v>
      </c>
      <c r="M14" s="122">
        <f t="shared" si="7"/>
        <v>0</v>
      </c>
      <c r="N14" s="107"/>
      <c r="O14" s="122">
        <v>1291454</v>
      </c>
      <c r="P14" s="128">
        <v>44208</v>
      </c>
      <c r="Q14" s="122">
        <v>3155454</v>
      </c>
      <c r="R14" s="107"/>
      <c r="S14" s="128">
        <v>0</v>
      </c>
      <c r="T14" s="122">
        <v>0</v>
      </c>
      <c r="U14" s="128">
        <v>-2335756</v>
      </c>
      <c r="V14" s="107"/>
      <c r="W14" s="128">
        <v>12247147</v>
      </c>
      <c r="X14" s="111"/>
      <c r="Y14" s="128">
        <v>1768697</v>
      </c>
      <c r="AA14" s="40"/>
    </row>
    <row r="15" spans="1:27" ht="20.100000000000001" customHeight="1" x14ac:dyDescent="0.25">
      <c r="A15" s="119">
        <v>109</v>
      </c>
      <c r="B15" s="63" t="s">
        <v>112</v>
      </c>
      <c r="C15" s="123">
        <f>'MFPRSI Supplemental info 2023'!D15</f>
        <v>9.0551660000000006E-2</v>
      </c>
      <c r="D15" s="123">
        <v>9.0929259999999998E-2</v>
      </c>
      <c r="E15" s="128">
        <f>'MFPRSI Supplemental info 2023'!W15</f>
        <v>56703363</v>
      </c>
      <c r="F15" s="128">
        <f t="shared" si="0"/>
        <v>56939816</v>
      </c>
      <c r="G15" s="128">
        <f t="shared" si="1"/>
        <v>236453</v>
      </c>
      <c r="H15" s="128">
        <f t="shared" si="2"/>
        <v>7844001</v>
      </c>
      <c r="I15" s="128">
        <f t="shared" si="3"/>
        <v>7844001</v>
      </c>
      <c r="J15" s="128">
        <f t="shared" si="4"/>
        <v>0</v>
      </c>
      <c r="K15" s="122">
        <f t="shared" si="5"/>
        <v>46363</v>
      </c>
      <c r="L15" s="122">
        <f t="shared" si="6"/>
        <v>190090</v>
      </c>
      <c r="M15" s="122">
        <f t="shared" si="7"/>
        <v>0</v>
      </c>
      <c r="N15" s="107"/>
      <c r="O15" s="122">
        <v>6335871</v>
      </c>
      <c r="P15" s="128">
        <v>216884</v>
      </c>
      <c r="Q15" s="122">
        <v>15480644</v>
      </c>
      <c r="R15" s="107"/>
      <c r="S15" s="128">
        <v>0</v>
      </c>
      <c r="T15" s="122">
        <v>0</v>
      </c>
      <c r="U15" s="128">
        <v>-11459209</v>
      </c>
      <c r="V15" s="107"/>
      <c r="W15" s="128">
        <v>60084459</v>
      </c>
      <c r="X15" s="111"/>
      <c r="Y15" s="128">
        <v>8677223</v>
      </c>
      <c r="AA15" s="40"/>
    </row>
    <row r="16" spans="1:27" ht="20.100000000000001" customHeight="1" x14ac:dyDescent="0.25">
      <c r="A16" s="119">
        <v>110</v>
      </c>
      <c r="B16" s="63" t="s">
        <v>113</v>
      </c>
      <c r="C16" s="123">
        <f>'MFPRSI Supplemental info 2023'!D16</f>
        <v>2.00891E-3</v>
      </c>
      <c r="D16" s="123">
        <v>2.1012700000000001E-3</v>
      </c>
      <c r="E16" s="128">
        <f>'MFPRSI Supplemental info 2023'!W16</f>
        <v>1257978</v>
      </c>
      <c r="F16" s="128">
        <f t="shared" si="0"/>
        <v>1315813</v>
      </c>
      <c r="G16" s="128">
        <f t="shared" si="1"/>
        <v>57835</v>
      </c>
      <c r="H16" s="128">
        <f t="shared" si="2"/>
        <v>181266</v>
      </c>
      <c r="I16" s="128">
        <f t="shared" si="3"/>
        <v>181266</v>
      </c>
      <c r="J16" s="128">
        <f t="shared" si="4"/>
        <v>0</v>
      </c>
      <c r="K16" s="122">
        <f t="shared" si="5"/>
        <v>11340</v>
      </c>
      <c r="L16" s="122">
        <f t="shared" si="6"/>
        <v>46495</v>
      </c>
      <c r="M16" s="122">
        <f t="shared" si="7"/>
        <v>0</v>
      </c>
      <c r="N16" s="107"/>
      <c r="O16" s="122">
        <v>146415</v>
      </c>
      <c r="P16" s="128">
        <v>5012</v>
      </c>
      <c r="Q16" s="122">
        <v>357740</v>
      </c>
      <c r="R16" s="107"/>
      <c r="S16" s="128">
        <v>0</v>
      </c>
      <c r="T16" s="122">
        <v>0</v>
      </c>
      <c r="U16" s="128">
        <v>-264809</v>
      </c>
      <c r="V16" s="107"/>
      <c r="W16" s="128">
        <v>1388482</v>
      </c>
      <c r="X16" s="111"/>
      <c r="Y16" s="128">
        <v>200521</v>
      </c>
      <c r="AA16" s="40"/>
    </row>
    <row r="17" spans="1:27" ht="20.100000000000001" customHeight="1" x14ac:dyDescent="0.25">
      <c r="A17" s="119">
        <v>111</v>
      </c>
      <c r="B17" s="63" t="s">
        <v>114</v>
      </c>
      <c r="C17" s="123">
        <f>'MFPRSI Supplemental info 2023'!D17</f>
        <v>3.02213E-3</v>
      </c>
      <c r="D17" s="123">
        <v>2.8248700000000002E-3</v>
      </c>
      <c r="E17" s="128">
        <f>'MFPRSI Supplemental info 2023'!W17</f>
        <v>1892455</v>
      </c>
      <c r="F17" s="128">
        <f t="shared" si="0"/>
        <v>1768931</v>
      </c>
      <c r="G17" s="128">
        <f t="shared" si="1"/>
        <v>-123524</v>
      </c>
      <c r="H17" s="128">
        <f t="shared" si="2"/>
        <v>243687</v>
      </c>
      <c r="I17" s="128">
        <f t="shared" si="3"/>
        <v>243687</v>
      </c>
      <c r="J17" s="128">
        <f t="shared" si="4"/>
        <v>0</v>
      </c>
      <c r="K17" s="122">
        <f t="shared" si="5"/>
        <v>-24220</v>
      </c>
      <c r="L17" s="122">
        <f t="shared" si="6"/>
        <v>0</v>
      </c>
      <c r="M17" s="122">
        <f t="shared" si="7"/>
        <v>-99304</v>
      </c>
      <c r="N17" s="107"/>
      <c r="O17" s="122">
        <v>196834</v>
      </c>
      <c r="P17" s="128">
        <v>6738</v>
      </c>
      <c r="Q17" s="122">
        <v>480932</v>
      </c>
      <c r="R17" s="107"/>
      <c r="S17" s="128">
        <v>0</v>
      </c>
      <c r="T17" s="122">
        <v>0</v>
      </c>
      <c r="U17" s="128">
        <v>-356000</v>
      </c>
      <c r="V17" s="107"/>
      <c r="W17" s="128">
        <v>1866625</v>
      </c>
      <c r="X17" s="111"/>
      <c r="Y17" s="128">
        <v>269572</v>
      </c>
      <c r="AA17" s="40"/>
    </row>
    <row r="18" spans="1:27" ht="20.100000000000001" customHeight="1" x14ac:dyDescent="0.25">
      <c r="A18" s="119">
        <v>112</v>
      </c>
      <c r="B18" s="63" t="s">
        <v>115</v>
      </c>
      <c r="C18" s="123">
        <f>'MFPRSI Supplemental info 2023'!D18</f>
        <v>1.8426100000000001E-2</v>
      </c>
      <c r="D18" s="123">
        <v>1.964608E-2</v>
      </c>
      <c r="E18" s="128">
        <f>'MFPRSI Supplemental info 2023'!W18</f>
        <v>11538406</v>
      </c>
      <c r="F18" s="128">
        <f t="shared" si="0"/>
        <v>12302357</v>
      </c>
      <c r="G18" s="128">
        <f t="shared" si="1"/>
        <v>763951</v>
      </c>
      <c r="H18" s="128">
        <f t="shared" si="2"/>
        <v>1694766</v>
      </c>
      <c r="I18" s="128">
        <f t="shared" si="3"/>
        <v>1694766</v>
      </c>
      <c r="J18" s="128">
        <f t="shared" si="4"/>
        <v>0</v>
      </c>
      <c r="K18" s="122">
        <f t="shared" si="5"/>
        <v>149794</v>
      </c>
      <c r="L18" s="122">
        <f t="shared" si="6"/>
        <v>614157</v>
      </c>
      <c r="M18" s="122">
        <f t="shared" si="7"/>
        <v>0</v>
      </c>
      <c r="N18" s="107"/>
      <c r="O18" s="122">
        <v>1368922</v>
      </c>
      <c r="P18" s="128">
        <v>46860</v>
      </c>
      <c r="Q18" s="122">
        <v>3344732</v>
      </c>
      <c r="R18" s="107"/>
      <c r="S18" s="128">
        <v>0</v>
      </c>
      <c r="T18" s="122">
        <v>0</v>
      </c>
      <c r="U18" s="128">
        <v>-2475865</v>
      </c>
      <c r="V18" s="107"/>
      <c r="W18" s="128">
        <v>12981785</v>
      </c>
      <c r="X18" s="111"/>
      <c r="Y18" s="128">
        <v>1874792</v>
      </c>
      <c r="AA18" s="40"/>
    </row>
    <row r="19" spans="1:27" ht="20.100000000000001" customHeight="1" x14ac:dyDescent="0.25">
      <c r="A19" s="119">
        <v>113</v>
      </c>
      <c r="B19" s="63" t="s">
        <v>116</v>
      </c>
      <c r="C19" s="123">
        <f>'MFPRSI Supplemental info 2023'!D19</f>
        <v>6.4645199999999996E-3</v>
      </c>
      <c r="D19" s="123">
        <v>6.3996900000000004E-3</v>
      </c>
      <c r="E19" s="128">
        <f>'MFPRSI Supplemental info 2023'!W19</f>
        <v>4048076</v>
      </c>
      <c r="F19" s="128">
        <f t="shared" si="0"/>
        <v>4007480</v>
      </c>
      <c r="G19" s="128">
        <f t="shared" si="1"/>
        <v>-40596</v>
      </c>
      <c r="H19" s="128">
        <f t="shared" si="2"/>
        <v>552068</v>
      </c>
      <c r="I19" s="128">
        <f t="shared" si="3"/>
        <v>552068</v>
      </c>
      <c r="J19" s="128">
        <f t="shared" si="4"/>
        <v>0</v>
      </c>
      <c r="K19" s="122">
        <f t="shared" si="5"/>
        <v>-7960</v>
      </c>
      <c r="L19" s="122">
        <f t="shared" si="6"/>
        <v>0</v>
      </c>
      <c r="M19" s="122">
        <f t="shared" si="7"/>
        <v>-32636</v>
      </c>
      <c r="N19" s="107"/>
      <c r="O19" s="122">
        <v>445925</v>
      </c>
      <c r="P19" s="128">
        <v>15265</v>
      </c>
      <c r="Q19" s="122">
        <v>1089543</v>
      </c>
      <c r="R19" s="107"/>
      <c r="S19" s="128">
        <v>0</v>
      </c>
      <c r="T19" s="122">
        <v>0</v>
      </c>
      <c r="U19" s="128">
        <v>-806510</v>
      </c>
      <c r="V19" s="107"/>
      <c r="W19" s="128">
        <v>4228803</v>
      </c>
      <c r="X19" s="111"/>
      <c r="Y19" s="128">
        <v>610711</v>
      </c>
      <c r="AA19" s="40"/>
    </row>
    <row r="20" spans="1:27" ht="20.100000000000001" customHeight="1" x14ac:dyDescent="0.25">
      <c r="A20" s="119">
        <v>114</v>
      </c>
      <c r="B20" s="63" t="s">
        <v>117</v>
      </c>
      <c r="C20" s="123">
        <f>'MFPRSI Supplemental info 2023'!D20</f>
        <v>5.7718720000000001E-2</v>
      </c>
      <c r="D20" s="123">
        <v>5.5119580000000001E-2</v>
      </c>
      <c r="E20" s="128">
        <f>'MFPRSI Supplemental info 2023'!W20</f>
        <v>36143408</v>
      </c>
      <c r="F20" s="128">
        <f t="shared" si="0"/>
        <v>34515829</v>
      </c>
      <c r="G20" s="128">
        <f t="shared" si="1"/>
        <v>-1627579</v>
      </c>
      <c r="H20" s="128">
        <f t="shared" si="2"/>
        <v>4754883</v>
      </c>
      <c r="I20" s="128">
        <f t="shared" si="3"/>
        <v>4754883</v>
      </c>
      <c r="J20" s="128">
        <f t="shared" si="4"/>
        <v>0</v>
      </c>
      <c r="K20" s="122">
        <f t="shared" si="5"/>
        <v>-319133</v>
      </c>
      <c r="L20" s="122">
        <f t="shared" si="6"/>
        <v>0</v>
      </c>
      <c r="M20" s="122">
        <f t="shared" si="7"/>
        <v>-1308446</v>
      </c>
      <c r="N20" s="107"/>
      <c r="O20" s="122">
        <v>3840684</v>
      </c>
      <c r="P20" s="128">
        <v>131471</v>
      </c>
      <c r="Q20" s="122">
        <v>9384071</v>
      </c>
      <c r="R20" s="107"/>
      <c r="S20" s="128">
        <v>0</v>
      </c>
      <c r="T20" s="122">
        <v>0</v>
      </c>
      <c r="U20" s="128">
        <v>-6946353</v>
      </c>
      <c r="V20" s="107"/>
      <c r="W20" s="128">
        <v>36422051</v>
      </c>
      <c r="X20" s="111"/>
      <c r="Y20" s="128">
        <v>5259967</v>
      </c>
      <c r="AA20" s="40"/>
    </row>
    <row r="21" spans="1:27" ht="20.100000000000001" customHeight="1" x14ac:dyDescent="0.25">
      <c r="A21" s="119">
        <v>115</v>
      </c>
      <c r="B21" s="63" t="s">
        <v>118</v>
      </c>
      <c r="C21" s="123">
        <f>'MFPRSI Supplemental info 2023'!D21</f>
        <v>2.94166E-3</v>
      </c>
      <c r="D21" s="123">
        <v>2.9535099999999999E-3</v>
      </c>
      <c r="E21" s="128">
        <f>'MFPRSI Supplemental info 2023'!W21</f>
        <v>1842065</v>
      </c>
      <c r="F21" s="128">
        <f t="shared" si="0"/>
        <v>1849485</v>
      </c>
      <c r="G21" s="128">
        <f t="shared" si="1"/>
        <v>7420</v>
      </c>
      <c r="H21" s="128">
        <f t="shared" si="2"/>
        <v>254784</v>
      </c>
      <c r="I21" s="128">
        <f t="shared" si="3"/>
        <v>254784</v>
      </c>
      <c r="J21" s="128">
        <f t="shared" si="4"/>
        <v>0</v>
      </c>
      <c r="K21" s="122">
        <f t="shared" si="5"/>
        <v>1455</v>
      </c>
      <c r="L21" s="122">
        <f t="shared" si="6"/>
        <v>5965</v>
      </c>
      <c r="M21" s="122">
        <f t="shared" si="7"/>
        <v>0</v>
      </c>
      <c r="N21" s="107"/>
      <c r="O21" s="122">
        <v>205798</v>
      </c>
      <c r="P21" s="128">
        <v>7045</v>
      </c>
      <c r="Q21" s="122">
        <v>502833</v>
      </c>
      <c r="R21" s="107"/>
      <c r="S21" s="128">
        <v>0</v>
      </c>
      <c r="T21" s="122">
        <v>0</v>
      </c>
      <c r="U21" s="128">
        <v>-372211</v>
      </c>
      <c r="V21" s="107"/>
      <c r="W21" s="128">
        <v>1951628</v>
      </c>
      <c r="X21" s="111"/>
      <c r="Y21" s="128">
        <v>281848</v>
      </c>
      <c r="AA21" s="40"/>
    </row>
    <row r="22" spans="1:27" ht="20.100000000000001" customHeight="1" x14ac:dyDescent="0.25">
      <c r="A22" s="119">
        <v>116</v>
      </c>
      <c r="B22" s="63" t="s">
        <v>119</v>
      </c>
      <c r="C22" s="123">
        <f>'MFPRSI Supplemental info 2023'!D22</f>
        <v>6.9689600000000004E-2</v>
      </c>
      <c r="D22" s="123">
        <v>7.1933990000000003E-2</v>
      </c>
      <c r="E22" s="128">
        <f>'MFPRSI Supplemental info 2023'!W22</f>
        <v>43639561</v>
      </c>
      <c r="F22" s="128">
        <f t="shared" si="0"/>
        <v>45044996</v>
      </c>
      <c r="G22" s="128">
        <f t="shared" si="1"/>
        <v>1405435</v>
      </c>
      <c r="H22" s="128">
        <f t="shared" si="2"/>
        <v>6205376</v>
      </c>
      <c r="I22" s="128">
        <f t="shared" si="3"/>
        <v>6205376</v>
      </c>
      <c r="J22" s="128">
        <f t="shared" si="4"/>
        <v>0</v>
      </c>
      <c r="K22" s="122">
        <f t="shared" si="5"/>
        <v>275575</v>
      </c>
      <c r="L22" s="122">
        <f t="shared" si="6"/>
        <v>1129860</v>
      </c>
      <c r="M22" s="122">
        <f t="shared" si="7"/>
        <v>0</v>
      </c>
      <c r="N22" s="107"/>
      <c r="O22" s="122">
        <v>5012297</v>
      </c>
      <c r="P22" s="128">
        <v>171577</v>
      </c>
      <c r="Q22" s="122">
        <v>12246712</v>
      </c>
      <c r="R22" s="107"/>
      <c r="S22" s="128">
        <v>0</v>
      </c>
      <c r="T22" s="122">
        <v>0</v>
      </c>
      <c r="U22" s="128">
        <v>-9065361</v>
      </c>
      <c r="V22" s="107"/>
      <c r="W22" s="128">
        <v>47532718</v>
      </c>
      <c r="X22" s="111"/>
      <c r="Y22" s="128">
        <v>6864537</v>
      </c>
      <c r="AA22" s="40"/>
    </row>
    <row r="23" spans="1:27" ht="20.100000000000001" customHeight="1" x14ac:dyDescent="0.25">
      <c r="A23" s="119">
        <v>117</v>
      </c>
      <c r="B23" s="63" t="s">
        <v>120</v>
      </c>
      <c r="C23" s="123">
        <f>'MFPRSI Supplemental info 2023'!D23</f>
        <v>2.8968100000000001E-3</v>
      </c>
      <c r="D23" s="123">
        <v>2.9845100000000001E-3</v>
      </c>
      <c r="E23" s="128">
        <f>'MFPRSI Supplemental info 2023'!W23</f>
        <v>1813980</v>
      </c>
      <c r="F23" s="128">
        <f t="shared" si="0"/>
        <v>1868897</v>
      </c>
      <c r="G23" s="128">
        <f t="shared" si="1"/>
        <v>54917</v>
      </c>
      <c r="H23" s="128">
        <f t="shared" si="2"/>
        <v>257458</v>
      </c>
      <c r="I23" s="128">
        <f t="shared" si="3"/>
        <v>257458</v>
      </c>
      <c r="J23" s="128">
        <f t="shared" si="4"/>
        <v>0</v>
      </c>
      <c r="K23" s="122">
        <f t="shared" si="5"/>
        <v>10768</v>
      </c>
      <c r="L23" s="122">
        <f t="shared" si="6"/>
        <v>44149</v>
      </c>
      <c r="M23" s="122">
        <f t="shared" si="7"/>
        <v>0</v>
      </c>
      <c r="N23" s="107"/>
      <c r="O23" s="122">
        <v>207958</v>
      </c>
      <c r="P23" s="128">
        <v>7119</v>
      </c>
      <c r="Q23" s="122">
        <v>508111</v>
      </c>
      <c r="R23" s="107"/>
      <c r="S23" s="128">
        <v>0</v>
      </c>
      <c r="T23" s="122">
        <v>0</v>
      </c>
      <c r="U23" s="128">
        <v>-376118</v>
      </c>
      <c r="V23" s="107"/>
      <c r="W23" s="128">
        <v>1972112</v>
      </c>
      <c r="X23" s="111"/>
      <c r="Y23" s="128">
        <v>284807</v>
      </c>
      <c r="AA23" s="40"/>
    </row>
    <row r="24" spans="1:27" ht="20.100000000000001" customHeight="1" x14ac:dyDescent="0.25">
      <c r="A24" s="119">
        <v>118</v>
      </c>
      <c r="B24" s="63" t="s">
        <v>121</v>
      </c>
      <c r="C24" s="123">
        <f>'MFPRSI Supplemental info 2023'!D24</f>
        <v>0.18992091999999999</v>
      </c>
      <c r="D24" s="123">
        <v>0.18423144</v>
      </c>
      <c r="E24" s="128">
        <f>'MFPRSI Supplemental info 2023'!W24</f>
        <v>118928293</v>
      </c>
      <c r="F24" s="128">
        <f t="shared" si="0"/>
        <v>115365553</v>
      </c>
      <c r="G24" s="128">
        <f t="shared" si="1"/>
        <v>-3562740</v>
      </c>
      <c r="H24" s="128">
        <f t="shared" si="2"/>
        <v>15892701</v>
      </c>
      <c r="I24" s="128">
        <f t="shared" si="3"/>
        <v>15892701</v>
      </c>
      <c r="J24" s="128">
        <f t="shared" si="4"/>
        <v>0</v>
      </c>
      <c r="K24" s="122">
        <f t="shared" si="5"/>
        <v>-698576</v>
      </c>
      <c r="L24" s="122">
        <f t="shared" si="6"/>
        <v>0</v>
      </c>
      <c r="M24" s="122">
        <f t="shared" si="7"/>
        <v>-2864164</v>
      </c>
      <c r="N24" s="107"/>
      <c r="O24" s="122">
        <v>12837086</v>
      </c>
      <c r="P24" s="128">
        <v>439427</v>
      </c>
      <c r="Q24" s="122">
        <v>31365276</v>
      </c>
      <c r="R24" s="107"/>
      <c r="S24" s="128">
        <v>0</v>
      </c>
      <c r="T24" s="122">
        <v>0</v>
      </c>
      <c r="U24" s="128">
        <v>-23217460</v>
      </c>
      <c r="V24" s="107"/>
      <c r="W24" s="128">
        <v>121736909</v>
      </c>
      <c r="X24" s="111"/>
      <c r="Y24" s="128">
        <v>17580890</v>
      </c>
      <c r="AA24" s="40"/>
    </row>
    <row r="25" spans="1:27" ht="20.100000000000001" customHeight="1" x14ac:dyDescent="0.25">
      <c r="A25" s="119">
        <v>119</v>
      </c>
      <c r="B25" s="63" t="s">
        <v>122</v>
      </c>
      <c r="C25" s="123">
        <f>'MFPRSI Supplemental info 2023'!D25</f>
        <v>1.7588E-3</v>
      </c>
      <c r="D25" s="123">
        <v>2.2207199999999998E-3</v>
      </c>
      <c r="E25" s="128">
        <f>'MFPRSI Supplemental info 2023'!W25</f>
        <v>1101359</v>
      </c>
      <c r="F25" s="128">
        <f t="shared" si="0"/>
        <v>1390613</v>
      </c>
      <c r="G25" s="128">
        <f t="shared" si="1"/>
        <v>289254</v>
      </c>
      <c r="H25" s="128">
        <f t="shared" si="2"/>
        <v>191570</v>
      </c>
      <c r="I25" s="128">
        <f t="shared" si="3"/>
        <v>191570</v>
      </c>
      <c r="J25" s="128">
        <f t="shared" si="4"/>
        <v>0</v>
      </c>
      <c r="K25" s="122">
        <f t="shared" si="5"/>
        <v>56716</v>
      </c>
      <c r="L25" s="122">
        <f t="shared" si="6"/>
        <v>232538</v>
      </c>
      <c r="M25" s="122">
        <f t="shared" si="7"/>
        <v>0</v>
      </c>
      <c r="N25" s="107"/>
      <c r="O25" s="122">
        <v>154738</v>
      </c>
      <c r="P25" s="128">
        <v>5297</v>
      </c>
      <c r="Q25" s="122">
        <v>378076</v>
      </c>
      <c r="R25" s="107"/>
      <c r="S25" s="128">
        <v>0</v>
      </c>
      <c r="T25" s="122">
        <v>0</v>
      </c>
      <c r="U25" s="128">
        <v>-279863</v>
      </c>
      <c r="V25" s="107"/>
      <c r="W25" s="128">
        <v>1467413</v>
      </c>
      <c r="X25" s="111"/>
      <c r="Y25" s="128">
        <v>211919</v>
      </c>
      <c r="AA25" s="40"/>
    </row>
    <row r="26" spans="1:27" ht="20.100000000000001" customHeight="1" x14ac:dyDescent="0.25">
      <c r="A26" s="119">
        <v>120</v>
      </c>
      <c r="B26" s="63" t="s">
        <v>123</v>
      </c>
      <c r="C26" s="123">
        <f>'MFPRSI Supplemental info 2023'!D26</f>
        <v>4.5767849999999999E-2</v>
      </c>
      <c r="D26" s="123">
        <v>4.546509E-2</v>
      </c>
      <c r="E26" s="128">
        <f>'MFPRSI Supplemental info 2023'!W26</f>
        <v>28659784</v>
      </c>
      <c r="F26" s="128">
        <f t="shared" si="0"/>
        <v>28470196</v>
      </c>
      <c r="G26" s="128">
        <f t="shared" si="1"/>
        <v>-189588</v>
      </c>
      <c r="H26" s="128">
        <f t="shared" si="2"/>
        <v>3922040</v>
      </c>
      <c r="I26" s="128">
        <f t="shared" si="3"/>
        <v>3922040</v>
      </c>
      <c r="J26" s="128">
        <f t="shared" si="4"/>
        <v>0</v>
      </c>
      <c r="K26" s="122">
        <f t="shared" si="5"/>
        <v>-37174</v>
      </c>
      <c r="L26" s="122">
        <f t="shared" si="6"/>
        <v>0</v>
      </c>
      <c r="M26" s="122">
        <f t="shared" si="7"/>
        <v>-152414</v>
      </c>
      <c r="N26" s="107"/>
      <c r="O26" s="122">
        <v>3167968</v>
      </c>
      <c r="P26" s="128">
        <v>108443</v>
      </c>
      <c r="Q26" s="122">
        <v>7740400</v>
      </c>
      <c r="R26" s="107"/>
      <c r="S26" s="128">
        <v>0</v>
      </c>
      <c r="T26" s="122">
        <v>0</v>
      </c>
      <c r="U26" s="128">
        <v>-5729662</v>
      </c>
      <c r="V26" s="107"/>
      <c r="W26" s="128">
        <v>30042534</v>
      </c>
      <c r="X26" s="111"/>
      <c r="Y26" s="128">
        <v>4338655</v>
      </c>
      <c r="AA26" s="40"/>
    </row>
    <row r="27" spans="1:27" ht="20.100000000000001" customHeight="1" x14ac:dyDescent="0.25">
      <c r="A27" s="119">
        <v>121</v>
      </c>
      <c r="B27" s="63" t="s">
        <v>124</v>
      </c>
      <c r="C27" s="123">
        <f>'MFPRSI Supplemental info 2023'!D27</f>
        <v>1.88619E-3</v>
      </c>
      <c r="D27" s="123">
        <v>1.8804200000000001E-3</v>
      </c>
      <c r="E27" s="128">
        <f>'MFPRSI Supplemental info 2023'!W27</f>
        <v>1181130</v>
      </c>
      <c r="F27" s="128">
        <f t="shared" si="0"/>
        <v>1177517</v>
      </c>
      <c r="G27" s="128">
        <f t="shared" si="1"/>
        <v>-3613</v>
      </c>
      <c r="H27" s="128">
        <f t="shared" si="2"/>
        <v>162214</v>
      </c>
      <c r="I27" s="128">
        <f t="shared" si="3"/>
        <v>162214</v>
      </c>
      <c r="J27" s="128">
        <f t="shared" si="4"/>
        <v>0</v>
      </c>
      <c r="K27" s="122">
        <f t="shared" si="5"/>
        <v>-708</v>
      </c>
      <c r="L27" s="122">
        <f t="shared" si="6"/>
        <v>0</v>
      </c>
      <c r="M27" s="122">
        <f t="shared" si="7"/>
        <v>-2905</v>
      </c>
      <c r="N27" s="107"/>
      <c r="O27" s="122">
        <v>131026</v>
      </c>
      <c r="P27" s="128">
        <v>4485</v>
      </c>
      <c r="Q27" s="122">
        <v>320140</v>
      </c>
      <c r="R27" s="107"/>
      <c r="S27" s="128">
        <v>0</v>
      </c>
      <c r="T27" s="122">
        <v>0</v>
      </c>
      <c r="U27" s="128">
        <v>-236977</v>
      </c>
      <c r="V27" s="107"/>
      <c r="W27" s="128">
        <v>1242549</v>
      </c>
      <c r="X27" s="111"/>
      <c r="Y27" s="128">
        <v>179445</v>
      </c>
      <c r="AA27" s="40"/>
    </row>
    <row r="28" spans="1:27" ht="20.100000000000001" customHeight="1" x14ac:dyDescent="0.25">
      <c r="A28" s="119">
        <v>122</v>
      </c>
      <c r="B28" s="63" t="s">
        <v>125</v>
      </c>
      <c r="C28" s="123">
        <f>'MFPRSI Supplemental info 2023'!D28</f>
        <v>1.1703799999999999E-3</v>
      </c>
      <c r="D28" s="123">
        <v>1.3219600000000001E-3</v>
      </c>
      <c r="E28" s="128">
        <f>'MFPRSI Supplemental info 2023'!W28</f>
        <v>732891</v>
      </c>
      <c r="F28" s="128">
        <f t="shared" si="0"/>
        <v>827810</v>
      </c>
      <c r="G28" s="128">
        <f t="shared" si="1"/>
        <v>94919</v>
      </c>
      <c r="H28" s="128">
        <f t="shared" si="2"/>
        <v>114039</v>
      </c>
      <c r="I28" s="128">
        <f t="shared" si="3"/>
        <v>114039</v>
      </c>
      <c r="J28" s="128">
        <f t="shared" si="4"/>
        <v>0</v>
      </c>
      <c r="K28" s="122">
        <f t="shared" si="5"/>
        <v>18612</v>
      </c>
      <c r="L28" s="122">
        <f t="shared" si="6"/>
        <v>76307</v>
      </c>
      <c r="M28" s="122">
        <f t="shared" si="7"/>
        <v>0</v>
      </c>
      <c r="N28" s="107"/>
      <c r="O28" s="122">
        <v>92113</v>
      </c>
      <c r="P28" s="128">
        <v>3153</v>
      </c>
      <c r="Q28" s="122">
        <v>225063</v>
      </c>
      <c r="R28" s="107"/>
      <c r="S28" s="128">
        <v>0</v>
      </c>
      <c r="T28" s="122">
        <v>0</v>
      </c>
      <c r="U28" s="128">
        <v>-166598</v>
      </c>
      <c r="V28" s="107"/>
      <c r="W28" s="128">
        <v>873528</v>
      </c>
      <c r="X28" s="111"/>
      <c r="Y28" s="128">
        <v>126152</v>
      </c>
      <c r="AA28" s="40"/>
    </row>
    <row r="29" spans="1:27" ht="20.100000000000001" customHeight="1" x14ac:dyDescent="0.25">
      <c r="A29" s="119">
        <v>123</v>
      </c>
      <c r="B29" s="63" t="s">
        <v>126</v>
      </c>
      <c r="C29" s="123">
        <f>'MFPRSI Supplemental info 2023'!D29</f>
        <v>2.3285699999999999E-3</v>
      </c>
      <c r="D29" s="123">
        <v>2.8475699999999998E-3</v>
      </c>
      <c r="E29" s="128">
        <f>'MFPRSI Supplemental info 2023'!W29</f>
        <v>1458148</v>
      </c>
      <c r="F29" s="128">
        <f t="shared" si="0"/>
        <v>1783146</v>
      </c>
      <c r="G29" s="128">
        <f t="shared" si="1"/>
        <v>324998</v>
      </c>
      <c r="H29" s="128">
        <f t="shared" si="2"/>
        <v>245645</v>
      </c>
      <c r="I29" s="128">
        <f t="shared" si="3"/>
        <v>245645</v>
      </c>
      <c r="J29" s="128">
        <f t="shared" si="4"/>
        <v>0</v>
      </c>
      <c r="K29" s="122">
        <f t="shared" si="5"/>
        <v>63725</v>
      </c>
      <c r="L29" s="122">
        <f t="shared" si="6"/>
        <v>261273</v>
      </c>
      <c r="M29" s="122">
        <f t="shared" si="7"/>
        <v>0</v>
      </c>
      <c r="N29" s="107"/>
      <c r="O29" s="122">
        <v>198416</v>
      </c>
      <c r="P29" s="128">
        <v>6792</v>
      </c>
      <c r="Q29" s="122">
        <v>484797</v>
      </c>
      <c r="R29" s="107"/>
      <c r="S29" s="128">
        <v>0</v>
      </c>
      <c r="T29" s="122">
        <v>0</v>
      </c>
      <c r="U29" s="128">
        <v>-358860</v>
      </c>
      <c r="V29" s="107"/>
      <c r="W29" s="128">
        <v>1881624</v>
      </c>
      <c r="X29" s="111"/>
      <c r="Y29" s="128">
        <v>271739</v>
      </c>
      <c r="AA29" s="40"/>
    </row>
    <row r="30" spans="1:27" ht="20.100000000000001" customHeight="1" x14ac:dyDescent="0.25">
      <c r="A30" s="119">
        <v>124</v>
      </c>
      <c r="B30" s="63" t="s">
        <v>127</v>
      </c>
      <c r="C30" s="123">
        <f>'MFPRSI Supplemental info 2023'!D30</f>
        <v>1.599998E-2</v>
      </c>
      <c r="D30" s="123">
        <v>1.5731450000000001E-2</v>
      </c>
      <c r="E30" s="128">
        <f>'MFPRSI Supplemental info 2023'!W30</f>
        <v>10019172</v>
      </c>
      <c r="F30" s="128">
        <f t="shared" si="0"/>
        <v>9851019</v>
      </c>
      <c r="G30" s="128">
        <f t="shared" si="1"/>
        <v>-168153</v>
      </c>
      <c r="H30" s="128">
        <f t="shared" si="2"/>
        <v>1357071</v>
      </c>
      <c r="I30" s="128">
        <f t="shared" si="3"/>
        <v>1357071</v>
      </c>
      <c r="J30" s="128">
        <f t="shared" si="4"/>
        <v>0</v>
      </c>
      <c r="K30" s="122">
        <f t="shared" si="5"/>
        <v>-32971</v>
      </c>
      <c r="L30" s="122">
        <f t="shared" si="6"/>
        <v>0</v>
      </c>
      <c r="M30" s="122">
        <f t="shared" si="7"/>
        <v>-135182</v>
      </c>
      <c r="N30" s="107"/>
      <c r="O30" s="122">
        <v>1096154</v>
      </c>
      <c r="P30" s="128">
        <v>37523</v>
      </c>
      <c r="Q30" s="122">
        <v>2678269</v>
      </c>
      <c r="R30" s="107"/>
      <c r="S30" s="128">
        <v>0</v>
      </c>
      <c r="T30" s="122">
        <v>0</v>
      </c>
      <c r="U30" s="128">
        <v>-1982530</v>
      </c>
      <c r="V30" s="107"/>
      <c r="W30" s="128">
        <v>10395066</v>
      </c>
      <c r="X30" s="111"/>
      <c r="Y30" s="128">
        <v>1501225</v>
      </c>
      <c r="AA30" s="40"/>
    </row>
    <row r="31" spans="1:27" ht="20.100000000000001" customHeight="1" x14ac:dyDescent="0.25">
      <c r="A31" s="119">
        <v>125</v>
      </c>
      <c r="B31" s="63" t="s">
        <v>128</v>
      </c>
      <c r="C31" s="123">
        <f>'MFPRSI Supplemental info 2023'!D31</f>
        <v>6.8241899999999999E-3</v>
      </c>
      <c r="D31" s="123">
        <v>6.66148E-3</v>
      </c>
      <c r="E31" s="128">
        <f>'MFPRSI Supplemental info 2023'!W31</f>
        <v>4273301</v>
      </c>
      <c r="F31" s="128">
        <f t="shared" si="0"/>
        <v>4171412</v>
      </c>
      <c r="G31" s="128">
        <f t="shared" si="1"/>
        <v>-101889</v>
      </c>
      <c r="H31" s="128">
        <f t="shared" si="2"/>
        <v>574652</v>
      </c>
      <c r="I31" s="128">
        <f t="shared" si="3"/>
        <v>574652</v>
      </c>
      <c r="J31" s="128">
        <f t="shared" si="4"/>
        <v>0</v>
      </c>
      <c r="K31" s="122">
        <f t="shared" si="5"/>
        <v>-19978</v>
      </c>
      <c r="L31" s="122">
        <f t="shared" si="6"/>
        <v>0</v>
      </c>
      <c r="M31" s="122">
        <f t="shared" si="7"/>
        <v>-81911</v>
      </c>
      <c r="N31" s="107"/>
      <c r="O31" s="122">
        <v>464166</v>
      </c>
      <c r="P31" s="128">
        <v>15889</v>
      </c>
      <c r="Q31" s="122">
        <v>1134112</v>
      </c>
      <c r="R31" s="107"/>
      <c r="S31" s="128">
        <v>0</v>
      </c>
      <c r="T31" s="122">
        <v>0</v>
      </c>
      <c r="U31" s="128">
        <v>-839502</v>
      </c>
      <c r="V31" s="107"/>
      <c r="W31" s="128">
        <v>4401789</v>
      </c>
      <c r="X31" s="111"/>
      <c r="Y31" s="128">
        <v>635694</v>
      </c>
      <c r="AA31" s="40"/>
    </row>
    <row r="32" spans="1:27" ht="20.100000000000001" customHeight="1" x14ac:dyDescent="0.25">
      <c r="A32" s="119">
        <v>126</v>
      </c>
      <c r="B32" s="63" t="s">
        <v>129</v>
      </c>
      <c r="C32" s="123">
        <f>'MFPRSI Supplemental info 2023'!D32</f>
        <v>3.70097E-3</v>
      </c>
      <c r="D32" s="123">
        <v>3.9097799999999999E-3</v>
      </c>
      <c r="E32" s="128">
        <f>'MFPRSI Supplemental info 2023'!W32</f>
        <v>2317544</v>
      </c>
      <c r="F32" s="128">
        <f t="shared" si="0"/>
        <v>2448301</v>
      </c>
      <c r="G32" s="128">
        <f t="shared" si="1"/>
        <v>130757</v>
      </c>
      <c r="H32" s="128">
        <f t="shared" si="2"/>
        <v>337277</v>
      </c>
      <c r="I32" s="128">
        <f t="shared" si="3"/>
        <v>337277</v>
      </c>
      <c r="J32" s="128">
        <f t="shared" si="4"/>
        <v>0</v>
      </c>
      <c r="K32" s="122">
        <f t="shared" si="5"/>
        <v>25639</v>
      </c>
      <c r="L32" s="122">
        <f t="shared" si="6"/>
        <v>105118</v>
      </c>
      <c r="M32" s="122">
        <f t="shared" si="7"/>
        <v>0</v>
      </c>
      <c r="N32" s="107"/>
      <c r="O32" s="122">
        <v>272430</v>
      </c>
      <c r="P32" s="128">
        <v>9326</v>
      </c>
      <c r="Q32" s="122">
        <v>665637</v>
      </c>
      <c r="R32" s="107"/>
      <c r="S32" s="128">
        <v>0</v>
      </c>
      <c r="T32" s="122">
        <v>0</v>
      </c>
      <c r="U32" s="128">
        <v>-492724</v>
      </c>
      <c r="V32" s="107"/>
      <c r="W32" s="128">
        <v>2583514</v>
      </c>
      <c r="X32" s="111"/>
      <c r="Y32" s="128">
        <v>373104</v>
      </c>
      <c r="AA32" s="40"/>
    </row>
    <row r="33" spans="1:27" ht="20.100000000000001" customHeight="1" x14ac:dyDescent="0.25">
      <c r="A33" s="119">
        <v>127</v>
      </c>
      <c r="B33" s="63" t="s">
        <v>130</v>
      </c>
      <c r="C33" s="123">
        <f>'MFPRSI Supplemental info 2023'!D33</f>
        <v>5.2696399999999999E-3</v>
      </c>
      <c r="D33" s="123">
        <v>5.2979400000000001E-3</v>
      </c>
      <c r="E33" s="128">
        <f>'MFPRSI Supplemental info 2023'!W33</f>
        <v>3299844</v>
      </c>
      <c r="F33" s="128">
        <f t="shared" si="0"/>
        <v>3317565</v>
      </c>
      <c r="G33" s="128">
        <f t="shared" si="1"/>
        <v>17721</v>
      </c>
      <c r="H33" s="128">
        <f t="shared" si="2"/>
        <v>457026</v>
      </c>
      <c r="I33" s="128">
        <f t="shared" si="3"/>
        <v>457026</v>
      </c>
      <c r="J33" s="128">
        <f t="shared" si="4"/>
        <v>0</v>
      </c>
      <c r="K33" s="122">
        <f t="shared" si="5"/>
        <v>3475</v>
      </c>
      <c r="L33" s="122">
        <f t="shared" si="6"/>
        <v>14246</v>
      </c>
      <c r="M33" s="122">
        <f t="shared" si="7"/>
        <v>0</v>
      </c>
      <c r="N33" s="107"/>
      <c r="O33" s="122">
        <v>369156</v>
      </c>
      <c r="P33" s="128">
        <v>12637</v>
      </c>
      <c r="Q33" s="122">
        <v>901971</v>
      </c>
      <c r="R33" s="107"/>
      <c r="S33" s="128">
        <v>0</v>
      </c>
      <c r="T33" s="122">
        <v>0</v>
      </c>
      <c r="U33" s="128">
        <v>-667664</v>
      </c>
      <c r="V33" s="107"/>
      <c r="W33" s="128">
        <v>3500786</v>
      </c>
      <c r="X33" s="111"/>
      <c r="Y33" s="128">
        <v>505573</v>
      </c>
      <c r="AA33" s="40"/>
    </row>
    <row r="34" spans="1:27" ht="20.100000000000001" customHeight="1" x14ac:dyDescent="0.25">
      <c r="A34" s="119">
        <v>128</v>
      </c>
      <c r="B34" s="63" t="s">
        <v>131</v>
      </c>
      <c r="C34" s="123">
        <f>'MFPRSI Supplemental info 2023'!D34</f>
        <v>3.523511E-2</v>
      </c>
      <c r="D34" s="123">
        <v>3.43421E-2</v>
      </c>
      <c r="E34" s="128">
        <f>'MFPRSI Supplemental info 2023'!W34</f>
        <v>22064192</v>
      </c>
      <c r="F34" s="128">
        <f t="shared" si="0"/>
        <v>21504990</v>
      </c>
      <c r="G34" s="128">
        <f t="shared" si="1"/>
        <v>-559202</v>
      </c>
      <c r="H34" s="128">
        <f t="shared" si="2"/>
        <v>2962517</v>
      </c>
      <c r="I34" s="128">
        <f t="shared" si="3"/>
        <v>2962517</v>
      </c>
      <c r="J34" s="128">
        <f t="shared" si="4"/>
        <v>0</v>
      </c>
      <c r="K34" s="122">
        <f t="shared" si="5"/>
        <v>-109647</v>
      </c>
      <c r="L34" s="122">
        <f t="shared" si="6"/>
        <v>0</v>
      </c>
      <c r="M34" s="122">
        <f t="shared" si="7"/>
        <v>-449555</v>
      </c>
      <c r="N34" s="107"/>
      <c r="O34" s="122">
        <v>2392927</v>
      </c>
      <c r="P34" s="128">
        <v>81913</v>
      </c>
      <c r="Q34" s="122">
        <v>5846719</v>
      </c>
      <c r="R34" s="107"/>
      <c r="S34" s="128">
        <v>0</v>
      </c>
      <c r="T34" s="122">
        <v>0</v>
      </c>
      <c r="U34" s="128">
        <v>-4327906</v>
      </c>
      <c r="V34" s="107"/>
      <c r="W34" s="128">
        <v>22692657</v>
      </c>
      <c r="X34" s="111"/>
      <c r="Y34" s="128">
        <v>3277208</v>
      </c>
      <c r="AA34" s="40"/>
    </row>
    <row r="35" spans="1:27" ht="20.100000000000001" customHeight="1" x14ac:dyDescent="0.25">
      <c r="A35" s="119">
        <v>129</v>
      </c>
      <c r="B35" s="63" t="s">
        <v>132</v>
      </c>
      <c r="C35" s="123">
        <f>'MFPRSI Supplemental info 2023'!D35</f>
        <v>7.2483000000000001E-3</v>
      </c>
      <c r="D35" s="123">
        <v>7.13395E-3</v>
      </c>
      <c r="E35" s="128">
        <f>'MFPRSI Supplemental info 2023'!W35</f>
        <v>4538879</v>
      </c>
      <c r="F35" s="128">
        <f t="shared" si="0"/>
        <v>4467273</v>
      </c>
      <c r="G35" s="128">
        <f t="shared" si="1"/>
        <v>-71606</v>
      </c>
      <c r="H35" s="128">
        <f t="shared" si="2"/>
        <v>615409</v>
      </c>
      <c r="I35" s="128">
        <f t="shared" si="3"/>
        <v>615409</v>
      </c>
      <c r="J35" s="128">
        <f t="shared" si="4"/>
        <v>0</v>
      </c>
      <c r="K35" s="122">
        <f t="shared" si="5"/>
        <v>-14040</v>
      </c>
      <c r="L35" s="122">
        <f t="shared" si="6"/>
        <v>0</v>
      </c>
      <c r="M35" s="122">
        <f t="shared" si="7"/>
        <v>-57566</v>
      </c>
      <c r="N35" s="107"/>
      <c r="O35" s="122">
        <v>497087</v>
      </c>
      <c r="P35" s="128">
        <v>17016</v>
      </c>
      <c r="Q35" s="122">
        <v>1214550</v>
      </c>
      <c r="R35" s="107"/>
      <c r="S35" s="128">
        <v>0</v>
      </c>
      <c r="T35" s="122">
        <v>0</v>
      </c>
      <c r="U35" s="128">
        <v>-899044</v>
      </c>
      <c r="V35" s="107"/>
      <c r="W35" s="128">
        <v>4713989</v>
      </c>
      <c r="X35" s="111"/>
      <c r="Y35" s="128">
        <v>680781</v>
      </c>
      <c r="AA35" s="40"/>
    </row>
    <row r="36" spans="1:27" ht="20.100000000000001" customHeight="1" x14ac:dyDescent="0.25">
      <c r="A36" s="119">
        <v>130</v>
      </c>
      <c r="B36" s="63" t="s">
        <v>133</v>
      </c>
      <c r="C36" s="123">
        <f>'MFPRSI Supplemental info 2023'!D36</f>
        <v>2.6084699999999999E-3</v>
      </c>
      <c r="D36" s="123">
        <v>2.7476499999999999E-3</v>
      </c>
      <c r="E36" s="128">
        <f>'MFPRSI Supplemental info 2023'!W36</f>
        <v>1633421</v>
      </c>
      <c r="F36" s="128">
        <f t="shared" si="0"/>
        <v>1720576</v>
      </c>
      <c r="G36" s="128">
        <f t="shared" si="1"/>
        <v>87155</v>
      </c>
      <c r="H36" s="128">
        <f t="shared" si="2"/>
        <v>237026</v>
      </c>
      <c r="I36" s="128">
        <f t="shared" si="3"/>
        <v>237026</v>
      </c>
      <c r="J36" s="128">
        <f t="shared" si="4"/>
        <v>0</v>
      </c>
      <c r="K36" s="122">
        <f t="shared" si="5"/>
        <v>17089</v>
      </c>
      <c r="L36" s="122">
        <f t="shared" si="6"/>
        <v>70066</v>
      </c>
      <c r="M36" s="122">
        <f t="shared" si="7"/>
        <v>0</v>
      </c>
      <c r="N36" s="107"/>
      <c r="O36" s="122">
        <v>191454</v>
      </c>
      <c r="P36" s="128">
        <v>6554</v>
      </c>
      <c r="Q36" s="122">
        <v>467786</v>
      </c>
      <c r="R36" s="107"/>
      <c r="S36" s="128">
        <v>0</v>
      </c>
      <c r="T36" s="122">
        <v>0</v>
      </c>
      <c r="U36" s="128">
        <v>-346268</v>
      </c>
      <c r="V36" s="107"/>
      <c r="W36" s="128">
        <v>1815599</v>
      </c>
      <c r="X36" s="111"/>
      <c r="Y36" s="128">
        <v>262204</v>
      </c>
      <c r="AA36" s="40"/>
    </row>
    <row r="37" spans="1:27" ht="20.100000000000001" customHeight="1" x14ac:dyDescent="0.25">
      <c r="A37" s="119">
        <v>131</v>
      </c>
      <c r="B37" s="67" t="s">
        <v>134</v>
      </c>
      <c r="C37" s="123">
        <f>'MFPRSI Supplemental info 2023'!D37</f>
        <v>3.3314E-3</v>
      </c>
      <c r="D37" s="123">
        <v>3.60984E-3</v>
      </c>
      <c r="E37" s="128">
        <f>'MFPRSI Supplemental info 2023'!W37</f>
        <v>2086120</v>
      </c>
      <c r="F37" s="128">
        <f t="shared" si="0"/>
        <v>2260478</v>
      </c>
      <c r="G37" s="128">
        <f t="shared" si="1"/>
        <v>174358</v>
      </c>
      <c r="H37" s="128">
        <f t="shared" si="2"/>
        <v>311402</v>
      </c>
      <c r="I37" s="128">
        <f t="shared" si="3"/>
        <v>311402</v>
      </c>
      <c r="J37" s="128">
        <f t="shared" si="4"/>
        <v>0</v>
      </c>
      <c r="K37" s="122">
        <f t="shared" si="5"/>
        <v>34188</v>
      </c>
      <c r="L37" s="122">
        <f t="shared" si="6"/>
        <v>140170</v>
      </c>
      <c r="M37" s="122">
        <f t="shared" si="7"/>
        <v>0</v>
      </c>
      <c r="N37" s="107"/>
      <c r="O37" s="122">
        <v>251530</v>
      </c>
      <c r="P37" s="128">
        <v>8610</v>
      </c>
      <c r="Q37" s="122">
        <v>614573</v>
      </c>
      <c r="R37" s="107"/>
      <c r="S37" s="128">
        <v>0</v>
      </c>
      <c r="T37" s="122">
        <v>0</v>
      </c>
      <c r="U37" s="128">
        <v>-454924</v>
      </c>
      <c r="V37" s="107"/>
      <c r="W37" s="128">
        <v>2385319</v>
      </c>
      <c r="X37" s="111"/>
      <c r="Y37" s="128">
        <v>344481</v>
      </c>
      <c r="AA37" s="40"/>
    </row>
    <row r="38" spans="1:27" ht="20.100000000000001" customHeight="1" x14ac:dyDescent="0.25">
      <c r="A38" s="119">
        <v>132</v>
      </c>
      <c r="B38" s="63" t="s">
        <v>135</v>
      </c>
      <c r="C38" s="123">
        <f>'MFPRSI Supplemental info 2023'!D38</f>
        <v>1.9818599999999998E-3</v>
      </c>
      <c r="D38" s="123">
        <v>2.1578299999999999E-3</v>
      </c>
      <c r="E38" s="128">
        <f>'MFPRSI Supplemental info 2023'!W38</f>
        <v>1241039</v>
      </c>
      <c r="F38" s="128">
        <f t="shared" si="0"/>
        <v>1351231</v>
      </c>
      <c r="G38" s="128">
        <f t="shared" si="1"/>
        <v>110192</v>
      </c>
      <c r="H38" s="128">
        <f t="shared" si="2"/>
        <v>186145</v>
      </c>
      <c r="I38" s="128">
        <f t="shared" si="3"/>
        <v>186145</v>
      </c>
      <c r="J38" s="128">
        <f t="shared" si="4"/>
        <v>0</v>
      </c>
      <c r="K38" s="122">
        <f t="shared" si="5"/>
        <v>21606</v>
      </c>
      <c r="L38" s="122">
        <f t="shared" si="6"/>
        <v>88586</v>
      </c>
      <c r="M38" s="122">
        <f t="shared" si="7"/>
        <v>0</v>
      </c>
      <c r="N38" s="107"/>
      <c r="O38" s="122">
        <v>150356</v>
      </c>
      <c r="P38" s="128">
        <v>5147</v>
      </c>
      <c r="Q38" s="122">
        <v>367369</v>
      </c>
      <c r="R38" s="107"/>
      <c r="S38" s="128">
        <v>0</v>
      </c>
      <c r="T38" s="122">
        <v>0</v>
      </c>
      <c r="U38" s="128">
        <v>-271937</v>
      </c>
      <c r="V38" s="107"/>
      <c r="W38" s="128">
        <v>1425856</v>
      </c>
      <c r="X38" s="111"/>
      <c r="Y38" s="128">
        <v>205918</v>
      </c>
      <c r="AA38" s="40"/>
    </row>
    <row r="39" spans="1:27" ht="20.100000000000001" customHeight="1" x14ac:dyDescent="0.25">
      <c r="A39" s="119">
        <v>133</v>
      </c>
      <c r="B39" s="67" t="s">
        <v>136</v>
      </c>
      <c r="C39" s="123">
        <f>'MFPRSI Supplemental info 2023'!D39</f>
        <v>1.964956E-2</v>
      </c>
      <c r="D39" s="123">
        <v>2.051619E-2</v>
      </c>
      <c r="E39" s="128">
        <f>'MFPRSI Supplemental info 2023'!W39</f>
        <v>12304536</v>
      </c>
      <c r="F39" s="128">
        <f t="shared" si="0"/>
        <v>12847219</v>
      </c>
      <c r="G39" s="128">
        <f t="shared" si="1"/>
        <v>542683</v>
      </c>
      <c r="H39" s="128">
        <f t="shared" si="2"/>
        <v>1769826</v>
      </c>
      <c r="I39" s="128">
        <f t="shared" si="3"/>
        <v>1769826</v>
      </c>
      <c r="J39" s="128">
        <f t="shared" si="4"/>
        <v>0</v>
      </c>
      <c r="K39" s="122">
        <f t="shared" si="5"/>
        <v>106408</v>
      </c>
      <c r="L39" s="122">
        <f t="shared" si="6"/>
        <v>436275</v>
      </c>
      <c r="M39" s="122">
        <f t="shared" si="7"/>
        <v>0</v>
      </c>
      <c r="N39" s="107"/>
      <c r="O39" s="122">
        <v>1429550</v>
      </c>
      <c r="P39" s="128">
        <v>48935</v>
      </c>
      <c r="Q39" s="122">
        <v>3492867</v>
      </c>
      <c r="R39" s="107"/>
      <c r="S39" s="128">
        <v>0</v>
      </c>
      <c r="T39" s="122">
        <v>0</v>
      </c>
      <c r="U39" s="128">
        <v>-2585519</v>
      </c>
      <c r="V39" s="107"/>
      <c r="W39" s="128">
        <v>13556738</v>
      </c>
      <c r="X39" s="111"/>
      <c r="Y39" s="128">
        <v>1957825</v>
      </c>
      <c r="AA39" s="40"/>
    </row>
    <row r="40" spans="1:27" ht="20.100000000000001" customHeight="1" x14ac:dyDescent="0.25">
      <c r="A40" s="119">
        <v>134</v>
      </c>
      <c r="B40" s="63" t="s">
        <v>137</v>
      </c>
      <c r="C40" s="123">
        <f>'MFPRSI Supplemental info 2023'!D40</f>
        <v>1.360886E-2</v>
      </c>
      <c r="D40" s="123">
        <v>1.331129E-2</v>
      </c>
      <c r="E40" s="128">
        <f>'MFPRSI Supplemental info 2023'!W40</f>
        <v>8521855</v>
      </c>
      <c r="F40" s="128">
        <f t="shared" si="0"/>
        <v>8335517</v>
      </c>
      <c r="G40" s="128">
        <f t="shared" si="1"/>
        <v>-186338</v>
      </c>
      <c r="H40" s="128">
        <f t="shared" si="2"/>
        <v>1148297</v>
      </c>
      <c r="I40" s="128">
        <f t="shared" si="3"/>
        <v>1148297</v>
      </c>
      <c r="J40" s="128">
        <f t="shared" si="4"/>
        <v>0</v>
      </c>
      <c r="K40" s="122">
        <f t="shared" si="5"/>
        <v>-36537</v>
      </c>
      <c r="L40" s="122">
        <f t="shared" si="6"/>
        <v>0</v>
      </c>
      <c r="M40" s="122">
        <f t="shared" si="7"/>
        <v>-149801</v>
      </c>
      <c r="N40" s="107"/>
      <c r="O40" s="122">
        <v>927519</v>
      </c>
      <c r="P40" s="128">
        <v>31750</v>
      </c>
      <c r="Q40" s="122">
        <v>2266238</v>
      </c>
      <c r="R40" s="107"/>
      <c r="S40" s="128">
        <v>0</v>
      </c>
      <c r="T40" s="122">
        <v>0</v>
      </c>
      <c r="U40" s="128">
        <v>-1677533</v>
      </c>
      <c r="V40" s="107"/>
      <c r="W40" s="128">
        <v>8795867</v>
      </c>
      <c r="X40" s="111"/>
      <c r="Y40" s="128">
        <v>1270274</v>
      </c>
      <c r="AA40" s="40"/>
    </row>
    <row r="41" spans="1:27" ht="20.100000000000001" customHeight="1" x14ac:dyDescent="0.25">
      <c r="A41" s="119">
        <v>135</v>
      </c>
      <c r="B41" s="67" t="s">
        <v>138</v>
      </c>
      <c r="C41" s="123">
        <f>'MFPRSI Supplemental info 2023'!D41</f>
        <v>1.8739479999999999E-2</v>
      </c>
      <c r="D41" s="123">
        <v>1.851769E-2</v>
      </c>
      <c r="E41" s="128">
        <f>'MFPRSI Supplemental info 2023'!W41</f>
        <v>11734645</v>
      </c>
      <c r="F41" s="128">
        <f t="shared" si="0"/>
        <v>11595760</v>
      </c>
      <c r="G41" s="128">
        <f t="shared" si="1"/>
        <v>-138885</v>
      </c>
      <c r="H41" s="128">
        <f t="shared" si="2"/>
        <v>1597426</v>
      </c>
      <c r="I41" s="128">
        <f t="shared" si="3"/>
        <v>1597426</v>
      </c>
      <c r="J41" s="128">
        <f t="shared" si="4"/>
        <v>0</v>
      </c>
      <c r="K41" s="122">
        <f t="shared" si="5"/>
        <v>-27232</v>
      </c>
      <c r="L41" s="122">
        <f t="shared" si="6"/>
        <v>0</v>
      </c>
      <c r="M41" s="122">
        <f t="shared" si="7"/>
        <v>-111653</v>
      </c>
      <c r="N41" s="107"/>
      <c r="O41" s="122">
        <v>1290296</v>
      </c>
      <c r="P41" s="128">
        <v>44168</v>
      </c>
      <c r="Q41" s="122">
        <v>3152624</v>
      </c>
      <c r="R41" s="107"/>
      <c r="S41" s="128">
        <v>0</v>
      </c>
      <c r="T41" s="122">
        <v>0</v>
      </c>
      <c r="U41" s="128">
        <v>-2333661</v>
      </c>
      <c r="V41" s="107"/>
      <c r="W41" s="128">
        <v>12236165</v>
      </c>
      <c r="X41" s="111"/>
      <c r="Y41" s="128">
        <v>1767111</v>
      </c>
      <c r="AA41" s="40"/>
    </row>
    <row r="42" spans="1:27" ht="20.100000000000001" customHeight="1" x14ac:dyDescent="0.25">
      <c r="A42" s="119">
        <v>136</v>
      </c>
      <c r="B42" s="67" t="s">
        <v>139</v>
      </c>
      <c r="C42" s="123">
        <f>'MFPRSI Supplemental info 2023'!D42</f>
        <v>1.7225279999999999E-2</v>
      </c>
      <c r="D42" s="123">
        <v>1.7339790000000001E-2</v>
      </c>
      <c r="E42" s="128">
        <f>'MFPRSI Supplemental info 2023'!W42</f>
        <v>10786454</v>
      </c>
      <c r="F42" s="128">
        <f t="shared" si="0"/>
        <v>10858160</v>
      </c>
      <c r="G42" s="128">
        <f t="shared" si="1"/>
        <v>71706</v>
      </c>
      <c r="H42" s="128">
        <f t="shared" si="2"/>
        <v>1495815</v>
      </c>
      <c r="I42" s="128">
        <f t="shared" si="3"/>
        <v>1495815</v>
      </c>
      <c r="J42" s="128">
        <f t="shared" si="4"/>
        <v>0</v>
      </c>
      <c r="K42" s="122">
        <f t="shared" si="5"/>
        <v>14060</v>
      </c>
      <c r="L42" s="122">
        <f t="shared" si="6"/>
        <v>57646</v>
      </c>
      <c r="M42" s="122">
        <f t="shared" si="7"/>
        <v>0</v>
      </c>
      <c r="N42" s="107"/>
      <c r="O42" s="122">
        <v>1208221</v>
      </c>
      <c r="P42" s="128">
        <v>41359</v>
      </c>
      <c r="Q42" s="122">
        <v>2952087</v>
      </c>
      <c r="R42" s="107"/>
      <c r="S42" s="128">
        <v>0</v>
      </c>
      <c r="T42" s="122">
        <v>0</v>
      </c>
      <c r="U42" s="128">
        <v>-2185218</v>
      </c>
      <c r="V42" s="107"/>
      <c r="W42" s="128">
        <v>11457829</v>
      </c>
      <c r="X42" s="111"/>
      <c r="Y42" s="128">
        <v>1654706</v>
      </c>
      <c r="AA42" s="40"/>
    </row>
    <row r="43" spans="1:27" ht="20.100000000000001" customHeight="1" x14ac:dyDescent="0.25">
      <c r="A43" s="119">
        <v>137</v>
      </c>
      <c r="B43" s="67" t="s">
        <v>140</v>
      </c>
      <c r="C43" s="123">
        <f>'MFPRSI Supplemental info 2023'!D43</f>
        <v>1.008297E-2</v>
      </c>
      <c r="D43" s="123">
        <v>1.0025070000000001E-2</v>
      </c>
      <c r="E43" s="128">
        <f>'MFPRSI Supplemental info 2023'!W43</f>
        <v>6313946</v>
      </c>
      <c r="F43" s="128">
        <f t="shared" si="0"/>
        <v>6277689</v>
      </c>
      <c r="G43" s="128">
        <f t="shared" si="1"/>
        <v>-36257</v>
      </c>
      <c r="H43" s="128">
        <f t="shared" si="2"/>
        <v>864811</v>
      </c>
      <c r="I43" s="128">
        <f t="shared" si="3"/>
        <v>864811</v>
      </c>
      <c r="J43" s="128">
        <f t="shared" si="4"/>
        <v>0</v>
      </c>
      <c r="K43" s="122">
        <f t="shared" si="5"/>
        <v>-7109</v>
      </c>
      <c r="L43" s="122">
        <f t="shared" si="6"/>
        <v>0</v>
      </c>
      <c r="M43" s="122">
        <f t="shared" si="7"/>
        <v>-29148</v>
      </c>
      <c r="N43" s="107"/>
      <c r="O43" s="122">
        <v>698538</v>
      </c>
      <c r="P43" s="128">
        <v>23912</v>
      </c>
      <c r="Q43" s="122">
        <v>1706761</v>
      </c>
      <c r="R43" s="107"/>
      <c r="S43" s="128">
        <v>0</v>
      </c>
      <c r="T43" s="122">
        <v>0</v>
      </c>
      <c r="U43" s="128">
        <v>-1263393</v>
      </c>
      <c r="V43" s="107"/>
      <c r="W43" s="128">
        <v>6624390</v>
      </c>
      <c r="X43" s="111"/>
      <c r="Y43" s="128">
        <v>956675</v>
      </c>
      <c r="AA43" s="40"/>
    </row>
    <row r="44" spans="1:27" ht="20.100000000000001" customHeight="1" x14ac:dyDescent="0.25">
      <c r="A44" s="119">
        <v>138</v>
      </c>
      <c r="B44" s="67" t="s">
        <v>141</v>
      </c>
      <c r="C44" s="123">
        <f>'MFPRSI Supplemental info 2023'!D44</f>
        <v>2.1753599999999999E-3</v>
      </c>
      <c r="D44" s="123">
        <v>2.17951E-3</v>
      </c>
      <c r="E44" s="128">
        <f>'MFPRSI Supplemental info 2023'!W44</f>
        <v>1362208</v>
      </c>
      <c r="F44" s="128">
        <f t="shared" si="0"/>
        <v>1364807</v>
      </c>
      <c r="G44" s="128">
        <f t="shared" si="1"/>
        <v>2599</v>
      </c>
      <c r="H44" s="128">
        <f t="shared" si="2"/>
        <v>188015</v>
      </c>
      <c r="I44" s="128">
        <f t="shared" si="3"/>
        <v>188015</v>
      </c>
      <c r="J44" s="128">
        <f t="shared" si="4"/>
        <v>0</v>
      </c>
      <c r="K44" s="122">
        <f t="shared" si="5"/>
        <v>510</v>
      </c>
      <c r="L44" s="122">
        <f t="shared" si="6"/>
        <v>2089</v>
      </c>
      <c r="M44" s="122">
        <f t="shared" si="7"/>
        <v>0</v>
      </c>
      <c r="N44" s="107"/>
      <c r="O44" s="122">
        <v>151866</v>
      </c>
      <c r="P44" s="128">
        <v>5199</v>
      </c>
      <c r="Q44" s="122">
        <v>371060</v>
      </c>
      <c r="R44" s="107"/>
      <c r="S44" s="128">
        <v>0</v>
      </c>
      <c r="T44" s="122">
        <v>0</v>
      </c>
      <c r="U44" s="128">
        <v>-274669</v>
      </c>
      <c r="V44" s="107"/>
      <c r="W44" s="128">
        <v>1440182</v>
      </c>
      <c r="X44" s="111"/>
      <c r="Y44" s="128">
        <v>207987</v>
      </c>
      <c r="AA44" s="40"/>
    </row>
    <row r="45" spans="1:27" ht="20.100000000000001" customHeight="1" x14ac:dyDescent="0.25">
      <c r="A45" s="119">
        <v>139</v>
      </c>
      <c r="B45" s="63" t="s">
        <v>142</v>
      </c>
      <c r="C45" s="123">
        <f>'MFPRSI Supplemental info 2023'!D45</f>
        <v>4.0799599999999997E-3</v>
      </c>
      <c r="D45" s="123">
        <v>4.2677399999999999E-3</v>
      </c>
      <c r="E45" s="128">
        <f>'MFPRSI Supplemental info 2023'!W45</f>
        <v>2554867</v>
      </c>
      <c r="F45" s="128">
        <f t="shared" si="0"/>
        <v>2672455</v>
      </c>
      <c r="G45" s="128">
        <f t="shared" si="1"/>
        <v>117588</v>
      </c>
      <c r="H45" s="128">
        <f t="shared" si="2"/>
        <v>368156</v>
      </c>
      <c r="I45" s="128">
        <f t="shared" si="3"/>
        <v>368156</v>
      </c>
      <c r="J45" s="128">
        <f t="shared" si="4"/>
        <v>0</v>
      </c>
      <c r="K45" s="122">
        <f t="shared" si="5"/>
        <v>23056</v>
      </c>
      <c r="L45" s="122">
        <f t="shared" si="6"/>
        <v>94532</v>
      </c>
      <c r="M45" s="122">
        <f t="shared" si="7"/>
        <v>0</v>
      </c>
      <c r="N45" s="107"/>
      <c r="O45" s="122">
        <v>297372</v>
      </c>
      <c r="P45" s="128">
        <v>10179</v>
      </c>
      <c r="Q45" s="122">
        <v>726580</v>
      </c>
      <c r="R45" s="107"/>
      <c r="S45" s="128">
        <v>0</v>
      </c>
      <c r="T45" s="122">
        <v>0</v>
      </c>
      <c r="U45" s="128">
        <v>-537835</v>
      </c>
      <c r="V45" s="107"/>
      <c r="W45" s="128">
        <v>2820048</v>
      </c>
      <c r="X45" s="111"/>
      <c r="Y45" s="128">
        <v>407263</v>
      </c>
      <c r="AA45" s="40"/>
    </row>
    <row r="46" spans="1:27" ht="20.100000000000001" customHeight="1" x14ac:dyDescent="0.25">
      <c r="A46" s="119">
        <v>140</v>
      </c>
      <c r="B46" s="67" t="s">
        <v>143</v>
      </c>
      <c r="C46" s="123">
        <f>'MFPRSI Supplemental info 2023'!D46</f>
        <v>1.366113E-2</v>
      </c>
      <c r="D46" s="123">
        <v>1.2894920000000001E-2</v>
      </c>
      <c r="E46" s="128">
        <f>'MFPRSI Supplemental info 2023'!W46</f>
        <v>8554587</v>
      </c>
      <c r="F46" s="128">
        <f t="shared" si="0"/>
        <v>8074787</v>
      </c>
      <c r="G46" s="128">
        <f t="shared" si="1"/>
        <v>-479800</v>
      </c>
      <c r="H46" s="128">
        <f t="shared" si="2"/>
        <v>1112379</v>
      </c>
      <c r="I46" s="128">
        <f t="shared" si="3"/>
        <v>1112379</v>
      </c>
      <c r="J46" s="128">
        <f t="shared" si="4"/>
        <v>0</v>
      </c>
      <c r="K46" s="122">
        <f t="shared" si="5"/>
        <v>-94078</v>
      </c>
      <c r="L46" s="122">
        <f t="shared" si="6"/>
        <v>0</v>
      </c>
      <c r="M46" s="122">
        <f t="shared" si="7"/>
        <v>-385722</v>
      </c>
      <c r="N46" s="107"/>
      <c r="O46" s="122">
        <v>898507</v>
      </c>
      <c r="P46" s="128">
        <v>30757</v>
      </c>
      <c r="Q46" s="122">
        <v>2195351</v>
      </c>
      <c r="R46" s="107"/>
      <c r="S46" s="128">
        <v>0</v>
      </c>
      <c r="T46" s="122">
        <v>0</v>
      </c>
      <c r="U46" s="128">
        <v>-1625061</v>
      </c>
      <c r="V46" s="107"/>
      <c r="W46" s="128">
        <v>8520737</v>
      </c>
      <c r="X46" s="111"/>
      <c r="Y46" s="128">
        <v>1230540</v>
      </c>
      <c r="AA46" s="40"/>
    </row>
    <row r="47" spans="1:27" ht="20.100000000000001" customHeight="1" x14ac:dyDescent="0.25">
      <c r="A47" s="119">
        <v>141</v>
      </c>
      <c r="B47" s="68" t="s">
        <v>144</v>
      </c>
      <c r="C47" s="123">
        <f>'MFPRSI Supplemental info 2023'!D47</f>
        <v>3.6312599999999999E-3</v>
      </c>
      <c r="D47" s="123">
        <v>3.8700700000000002E-3</v>
      </c>
      <c r="E47" s="128">
        <f>'MFPRSI Supplemental info 2023'!W47</f>
        <v>2273892</v>
      </c>
      <c r="F47" s="128">
        <f t="shared" si="0"/>
        <v>2423434</v>
      </c>
      <c r="G47" s="128">
        <f t="shared" si="1"/>
        <v>149542</v>
      </c>
      <c r="H47" s="128">
        <f t="shared" si="2"/>
        <v>333851</v>
      </c>
      <c r="I47" s="128">
        <f t="shared" si="3"/>
        <v>333851</v>
      </c>
      <c r="J47" s="128">
        <f t="shared" si="4"/>
        <v>0</v>
      </c>
      <c r="K47" s="122">
        <f t="shared" si="5"/>
        <v>29322</v>
      </c>
      <c r="L47" s="122">
        <f t="shared" si="6"/>
        <v>120220</v>
      </c>
      <c r="M47" s="122">
        <f t="shared" si="7"/>
        <v>0</v>
      </c>
      <c r="N47" s="107"/>
      <c r="O47" s="122">
        <v>269663</v>
      </c>
      <c r="P47" s="128">
        <v>9231</v>
      </c>
      <c r="Q47" s="122">
        <v>658877</v>
      </c>
      <c r="R47" s="107"/>
      <c r="S47" s="128">
        <v>0</v>
      </c>
      <c r="T47" s="122">
        <v>0</v>
      </c>
      <c r="U47" s="128">
        <v>-487719</v>
      </c>
      <c r="V47" s="107"/>
      <c r="W47" s="128">
        <v>2557274</v>
      </c>
      <c r="X47" s="111"/>
      <c r="Y47" s="128">
        <v>369314</v>
      </c>
      <c r="AA47" s="40"/>
    </row>
    <row r="48" spans="1:27" ht="20.100000000000001" customHeight="1" x14ac:dyDescent="0.25">
      <c r="A48" s="119">
        <v>142</v>
      </c>
      <c r="B48" s="63" t="s">
        <v>145</v>
      </c>
      <c r="C48" s="123">
        <f>'MFPRSI Supplemental info 2023'!D48</f>
        <v>5.910108E-2</v>
      </c>
      <c r="D48" s="123">
        <v>5.8949509999999997E-2</v>
      </c>
      <c r="E48" s="128">
        <f>'MFPRSI Supplemental info 2023'!W48</f>
        <v>37009040</v>
      </c>
      <c r="F48" s="128">
        <f t="shared" si="0"/>
        <v>36914127</v>
      </c>
      <c r="G48" s="128">
        <f t="shared" si="1"/>
        <v>-94913</v>
      </c>
      <c r="H48" s="128">
        <f t="shared" si="2"/>
        <v>5085272</v>
      </c>
      <c r="I48" s="128">
        <f t="shared" si="3"/>
        <v>5085272</v>
      </c>
      <c r="J48" s="128">
        <f t="shared" si="4"/>
        <v>0</v>
      </c>
      <c r="K48" s="122">
        <f t="shared" si="5"/>
        <v>-18610</v>
      </c>
      <c r="L48" s="122">
        <f t="shared" si="6"/>
        <v>0</v>
      </c>
      <c r="M48" s="122">
        <f t="shared" si="7"/>
        <v>-76303</v>
      </c>
      <c r="N48" s="107"/>
      <c r="O48" s="122">
        <v>4107550</v>
      </c>
      <c r="P48" s="128">
        <v>140606</v>
      </c>
      <c r="Q48" s="122">
        <v>10036114</v>
      </c>
      <c r="R48" s="107"/>
      <c r="S48" s="128">
        <v>0</v>
      </c>
      <c r="T48" s="122">
        <v>0</v>
      </c>
      <c r="U48" s="128">
        <v>-7429014</v>
      </c>
      <c r="V48" s="107"/>
      <c r="W48" s="128">
        <v>38952802</v>
      </c>
      <c r="X48" s="111"/>
      <c r="Y48" s="128">
        <v>5625450</v>
      </c>
      <c r="AA48" s="40"/>
    </row>
    <row r="49" spans="1:27" ht="20.100000000000001" customHeight="1" x14ac:dyDescent="0.25">
      <c r="A49" s="119">
        <v>143</v>
      </c>
      <c r="B49" s="63" t="s">
        <v>146</v>
      </c>
      <c r="C49" s="123">
        <f>'MFPRSI Supplemental info 2023'!D49</f>
        <v>4.7686300000000003E-3</v>
      </c>
      <c r="D49" s="123">
        <v>4.8834799999999999E-3</v>
      </c>
      <c r="E49" s="128">
        <f>'MFPRSI Supplemental info 2023'!W49</f>
        <v>2986112</v>
      </c>
      <c r="F49" s="128">
        <f t="shared" si="0"/>
        <v>3058031</v>
      </c>
      <c r="G49" s="128">
        <f t="shared" si="1"/>
        <v>71919</v>
      </c>
      <c r="H49" s="128">
        <f t="shared" si="2"/>
        <v>421273</v>
      </c>
      <c r="I49" s="128">
        <f t="shared" si="3"/>
        <v>421273</v>
      </c>
      <c r="J49" s="128">
        <f t="shared" si="4"/>
        <v>0</v>
      </c>
      <c r="K49" s="122">
        <f t="shared" si="5"/>
        <v>14102</v>
      </c>
      <c r="L49" s="122">
        <f t="shared" si="6"/>
        <v>57817</v>
      </c>
      <c r="M49" s="122">
        <f t="shared" si="7"/>
        <v>0</v>
      </c>
      <c r="N49" s="107"/>
      <c r="O49" s="122">
        <v>340277</v>
      </c>
      <c r="P49" s="128">
        <v>11648</v>
      </c>
      <c r="Q49" s="122">
        <v>831409</v>
      </c>
      <c r="R49" s="107"/>
      <c r="S49" s="128">
        <v>0</v>
      </c>
      <c r="T49" s="122">
        <v>0</v>
      </c>
      <c r="U49" s="128">
        <v>-615432</v>
      </c>
      <c r="V49" s="107"/>
      <c r="W49" s="128">
        <v>3226918</v>
      </c>
      <c r="X49" s="111"/>
      <c r="Y49" s="128">
        <v>466022</v>
      </c>
      <c r="AA49" s="40"/>
    </row>
    <row r="50" spans="1:27" ht="20.100000000000001" customHeight="1" x14ac:dyDescent="0.25">
      <c r="A50" s="119">
        <v>144</v>
      </c>
      <c r="B50" s="63" t="s">
        <v>147</v>
      </c>
      <c r="C50" s="123">
        <f>'MFPRSI Supplemental info 2023'!D50</f>
        <v>4.1007300000000003E-3</v>
      </c>
      <c r="D50" s="123">
        <v>4.3273399999999998E-3</v>
      </c>
      <c r="E50" s="128">
        <f>'MFPRSI Supplemental info 2023'!W50</f>
        <v>2567873</v>
      </c>
      <c r="F50" s="128">
        <f t="shared" si="0"/>
        <v>2709776</v>
      </c>
      <c r="G50" s="128">
        <f t="shared" si="1"/>
        <v>141903</v>
      </c>
      <c r="H50" s="128">
        <f t="shared" si="2"/>
        <v>373297</v>
      </c>
      <c r="I50" s="128">
        <f t="shared" si="3"/>
        <v>373297</v>
      </c>
      <c r="J50" s="128">
        <f t="shared" si="4"/>
        <v>0</v>
      </c>
      <c r="K50" s="122">
        <f t="shared" si="5"/>
        <v>27824</v>
      </c>
      <c r="L50" s="122">
        <f t="shared" si="6"/>
        <v>114079</v>
      </c>
      <c r="M50" s="122">
        <f t="shared" si="7"/>
        <v>0</v>
      </c>
      <c r="N50" s="107"/>
      <c r="O50" s="122">
        <v>301525</v>
      </c>
      <c r="P50" s="128">
        <v>10322</v>
      </c>
      <c r="Q50" s="122">
        <v>736727</v>
      </c>
      <c r="R50" s="107"/>
      <c r="S50" s="128">
        <v>0</v>
      </c>
      <c r="T50" s="122">
        <v>0</v>
      </c>
      <c r="U50" s="128">
        <v>-545346</v>
      </c>
      <c r="V50" s="107"/>
      <c r="W50" s="128">
        <v>2859430</v>
      </c>
      <c r="X50" s="111"/>
      <c r="Y50" s="128">
        <v>412951</v>
      </c>
      <c r="AA50" s="40"/>
    </row>
    <row r="51" spans="1:27" ht="20.100000000000001" customHeight="1" x14ac:dyDescent="0.25">
      <c r="A51" s="119">
        <v>145</v>
      </c>
      <c r="B51" s="63" t="s">
        <v>148</v>
      </c>
      <c r="C51" s="123">
        <f>'MFPRSI Supplemental info 2023'!D51</f>
        <v>2.5963799999999999E-2</v>
      </c>
      <c r="D51" s="123">
        <v>2.5573080000000002E-2</v>
      </c>
      <c r="E51" s="128">
        <f>'MFPRSI Supplemental info 2023'!W51</f>
        <v>16258507</v>
      </c>
      <c r="F51" s="128">
        <f t="shared" si="0"/>
        <v>16013838</v>
      </c>
      <c r="G51" s="128">
        <f t="shared" si="1"/>
        <v>-244669</v>
      </c>
      <c r="H51" s="128">
        <f t="shared" si="2"/>
        <v>2206058</v>
      </c>
      <c r="I51" s="128">
        <f t="shared" si="3"/>
        <v>2206058</v>
      </c>
      <c r="J51" s="128">
        <f t="shared" si="4"/>
        <v>0</v>
      </c>
      <c r="K51" s="122">
        <f t="shared" si="5"/>
        <v>-47974</v>
      </c>
      <c r="L51" s="122">
        <f t="shared" si="6"/>
        <v>0</v>
      </c>
      <c r="M51" s="122">
        <f t="shared" si="7"/>
        <v>-196695</v>
      </c>
      <c r="N51" s="107"/>
      <c r="O51" s="122">
        <v>1781910</v>
      </c>
      <c r="P51" s="128">
        <v>60997</v>
      </c>
      <c r="Q51" s="122">
        <v>4353799</v>
      </c>
      <c r="R51" s="107"/>
      <c r="S51" s="128">
        <v>0</v>
      </c>
      <c r="T51" s="122">
        <v>0</v>
      </c>
      <c r="U51" s="128">
        <v>-3222805</v>
      </c>
      <c r="V51" s="107"/>
      <c r="W51" s="128">
        <v>16898243</v>
      </c>
      <c r="X51" s="111"/>
      <c r="Y51" s="128">
        <v>2440395</v>
      </c>
      <c r="AA51" s="40"/>
    </row>
    <row r="52" spans="1:27" ht="20.100000000000001" customHeight="1" x14ac:dyDescent="0.25">
      <c r="A52" s="119">
        <v>146</v>
      </c>
      <c r="B52" s="63" t="s">
        <v>149</v>
      </c>
      <c r="C52" s="123">
        <f>'MFPRSI Supplemental info 2023'!D52</f>
        <v>5.5120929999999999E-2</v>
      </c>
      <c r="D52" s="123">
        <v>5.5603020000000003E-2</v>
      </c>
      <c r="E52" s="128">
        <f>'MFPRSI Supplemental info 2023'!W52</f>
        <v>34516674</v>
      </c>
      <c r="F52" s="128">
        <f t="shared" si="0"/>
        <v>34818558</v>
      </c>
      <c r="G52" s="128">
        <f t="shared" si="1"/>
        <v>301884</v>
      </c>
      <c r="H52" s="128">
        <f t="shared" si="2"/>
        <v>4796587</v>
      </c>
      <c r="I52" s="128">
        <f t="shared" si="3"/>
        <v>4796587</v>
      </c>
      <c r="J52" s="128">
        <f t="shared" si="4"/>
        <v>0</v>
      </c>
      <c r="K52" s="122">
        <f t="shared" si="5"/>
        <v>59193</v>
      </c>
      <c r="L52" s="122">
        <f t="shared" si="6"/>
        <v>242691</v>
      </c>
      <c r="M52" s="122">
        <f t="shared" si="7"/>
        <v>0</v>
      </c>
      <c r="N52" s="107"/>
      <c r="O52" s="122">
        <v>3874370</v>
      </c>
      <c r="P52" s="128">
        <v>132624</v>
      </c>
      <c r="Q52" s="122">
        <v>9466376</v>
      </c>
      <c r="R52" s="107"/>
      <c r="S52" s="128">
        <v>0</v>
      </c>
      <c r="T52" s="122">
        <v>0</v>
      </c>
      <c r="U52" s="128">
        <v>-7007278</v>
      </c>
      <c r="V52" s="107"/>
      <c r="W52" s="128">
        <v>36741500</v>
      </c>
      <c r="X52" s="111"/>
      <c r="Y52" s="128">
        <v>5306101</v>
      </c>
      <c r="AA52" s="40"/>
    </row>
    <row r="53" spans="1:27" ht="20.100000000000001" customHeight="1" x14ac:dyDescent="0.25">
      <c r="A53" s="119">
        <v>147</v>
      </c>
      <c r="B53" s="63" t="s">
        <v>150</v>
      </c>
      <c r="C53" s="123">
        <f>'MFPRSI Supplemental info 2023'!D53</f>
        <v>3.39441E-3</v>
      </c>
      <c r="D53" s="123">
        <v>3.7812100000000001E-3</v>
      </c>
      <c r="E53" s="128">
        <f>'MFPRSI Supplemental info 2023'!W53</f>
        <v>2125576</v>
      </c>
      <c r="F53" s="128">
        <f t="shared" si="0"/>
        <v>2367790</v>
      </c>
      <c r="G53" s="128">
        <f t="shared" si="1"/>
        <v>242214</v>
      </c>
      <c r="H53" s="128">
        <f t="shared" si="2"/>
        <v>326186</v>
      </c>
      <c r="I53" s="128">
        <f t="shared" si="3"/>
        <v>326186</v>
      </c>
      <c r="J53" s="128">
        <f t="shared" si="4"/>
        <v>0</v>
      </c>
      <c r="K53" s="122">
        <f t="shared" si="5"/>
        <v>47493</v>
      </c>
      <c r="L53" s="122">
        <f t="shared" si="6"/>
        <v>194721</v>
      </c>
      <c r="M53" s="122">
        <f t="shared" si="7"/>
        <v>0</v>
      </c>
      <c r="N53" s="107"/>
      <c r="O53" s="122">
        <v>263471</v>
      </c>
      <c r="P53" s="128">
        <v>9019</v>
      </c>
      <c r="Q53" s="122">
        <v>643748</v>
      </c>
      <c r="R53" s="107"/>
      <c r="S53" s="128">
        <v>0</v>
      </c>
      <c r="T53" s="122">
        <v>0</v>
      </c>
      <c r="U53" s="128">
        <v>-476521</v>
      </c>
      <c r="V53" s="107"/>
      <c r="W53" s="128">
        <v>2498557</v>
      </c>
      <c r="X53" s="111"/>
      <c r="Y53" s="128">
        <v>360834</v>
      </c>
      <c r="AA53" s="40"/>
    </row>
    <row r="54" spans="1:27" ht="20.100000000000001" customHeight="1" x14ac:dyDescent="0.25">
      <c r="A54" s="119">
        <v>148</v>
      </c>
      <c r="B54" s="63" t="s">
        <v>151</v>
      </c>
      <c r="C54" s="123">
        <f>'MFPRSI Supplemental info 2023'!D54</f>
        <v>2.9741799999999999E-3</v>
      </c>
      <c r="D54" s="123">
        <v>2.9686000000000001E-3</v>
      </c>
      <c r="E54" s="128">
        <f>'MFPRSI Supplemental info 2023'!W54</f>
        <v>1862429</v>
      </c>
      <c r="F54" s="128">
        <f t="shared" si="0"/>
        <v>1858934</v>
      </c>
      <c r="G54" s="128">
        <f t="shared" si="1"/>
        <v>-3495</v>
      </c>
      <c r="H54" s="128">
        <f t="shared" si="2"/>
        <v>256086</v>
      </c>
      <c r="I54" s="128">
        <f t="shared" si="3"/>
        <v>256086</v>
      </c>
      <c r="J54" s="128">
        <f t="shared" si="4"/>
        <v>0</v>
      </c>
      <c r="K54" s="122">
        <f t="shared" si="5"/>
        <v>-685</v>
      </c>
      <c r="L54" s="122">
        <f t="shared" si="6"/>
        <v>0</v>
      </c>
      <c r="M54" s="122">
        <f t="shared" si="7"/>
        <v>-2810</v>
      </c>
      <c r="N54" s="107"/>
      <c r="O54" s="122">
        <v>206849</v>
      </c>
      <c r="P54" s="128">
        <v>7081</v>
      </c>
      <c r="Q54" s="122">
        <v>505402</v>
      </c>
      <c r="R54" s="107"/>
      <c r="S54" s="128">
        <v>0</v>
      </c>
      <c r="T54" s="122">
        <v>0</v>
      </c>
      <c r="U54" s="128">
        <v>-374113</v>
      </c>
      <c r="V54" s="107"/>
      <c r="W54" s="128">
        <v>1961599</v>
      </c>
      <c r="X54" s="111"/>
      <c r="Y54" s="128">
        <v>283288</v>
      </c>
      <c r="AA54" s="40"/>
    </row>
    <row r="55" spans="1:27" ht="19.5" customHeight="1" x14ac:dyDescent="0.25">
      <c r="A55" s="119">
        <v>149</v>
      </c>
      <c r="B55" s="63" t="s">
        <v>152</v>
      </c>
      <c r="C55" s="123">
        <f>'MFPRSI Supplemental info 2023'!D55</f>
        <v>4.0207029999999998E-2</v>
      </c>
      <c r="D55" s="123">
        <v>4.4636309999999998E-2</v>
      </c>
      <c r="E55" s="128">
        <f>'MFPRSI Supplemental info 2023'!W55</f>
        <v>25177604</v>
      </c>
      <c r="F55" s="128">
        <f>ROUND($E$57*D55,0)</f>
        <v>27951215</v>
      </c>
      <c r="G55" s="128">
        <f t="shared" si="1"/>
        <v>2773611</v>
      </c>
      <c r="H55" s="128">
        <f t="shared" si="2"/>
        <v>3850545</v>
      </c>
      <c r="I55" s="128">
        <f t="shared" si="3"/>
        <v>3850545</v>
      </c>
      <c r="J55" s="128">
        <f t="shared" si="4"/>
        <v>0</v>
      </c>
      <c r="K55" s="122">
        <f t="shared" si="5"/>
        <v>543845</v>
      </c>
      <c r="L55" s="122">
        <f t="shared" si="6"/>
        <v>2229766</v>
      </c>
      <c r="M55" s="122">
        <f t="shared" si="7"/>
        <v>0</v>
      </c>
      <c r="N55" s="107"/>
      <c r="O55" s="122">
        <v>3110219</v>
      </c>
      <c r="P55" s="128">
        <v>106467</v>
      </c>
      <c r="Q55" s="122">
        <v>7599301</v>
      </c>
      <c r="R55" s="107"/>
      <c r="S55" s="128">
        <v>0</v>
      </c>
      <c r="T55" s="122">
        <v>0</v>
      </c>
      <c r="U55" s="128">
        <v>-5625217</v>
      </c>
      <c r="V55" s="107"/>
      <c r="W55" s="128">
        <v>29494890</v>
      </c>
      <c r="X55" s="111"/>
      <c r="Y55" s="128">
        <v>4259566</v>
      </c>
      <c r="AA55" s="40"/>
    </row>
    <row r="56" spans="1:27" x14ac:dyDescent="0.25">
      <c r="A56" s="106"/>
      <c r="B56" s="107"/>
      <c r="C56" s="110"/>
      <c r="D56" s="108"/>
      <c r="E56" s="112"/>
      <c r="F56" s="121"/>
      <c r="G56" s="121"/>
      <c r="H56" s="121"/>
      <c r="I56" s="121"/>
      <c r="K56" s="68"/>
      <c r="L56" s="68"/>
      <c r="M56" s="68"/>
      <c r="N56" s="107"/>
      <c r="O56" s="107"/>
      <c r="P56" s="109"/>
      <c r="Q56" s="107"/>
      <c r="R56" s="107"/>
      <c r="S56" s="107"/>
      <c r="T56" s="107"/>
      <c r="U56" s="111"/>
      <c r="V56" s="107"/>
      <c r="W56" s="109"/>
      <c r="X56" s="109"/>
      <c r="Y56" s="111"/>
    </row>
    <row r="57" spans="1:27" x14ac:dyDescent="0.25">
      <c r="A57" s="106"/>
      <c r="B57" s="107"/>
      <c r="C57" s="131">
        <f t="shared" ref="C57:D57" si="8">SUM(C7:C56)</f>
        <v>1.0000000100000002</v>
      </c>
      <c r="D57" s="131">
        <f t="shared" si="8"/>
        <v>0.99999998999999995</v>
      </c>
      <c r="E57" s="128">
        <f>SUM(E7:E56)+E61</f>
        <v>626199050</v>
      </c>
      <c r="F57" s="128">
        <f>SUM(F7:F56)+F61</f>
        <v>626199037</v>
      </c>
      <c r="G57" s="128">
        <f>SUM(G7:G56)+G61</f>
        <v>-13</v>
      </c>
      <c r="H57" s="128">
        <f>SUM(H7:H56)+H61</f>
        <v>86264861</v>
      </c>
      <c r="I57" s="132">
        <f>SUM(I7:I56)+I61</f>
        <v>86264861</v>
      </c>
      <c r="J57" s="121">
        <f>SUM(J7:J56)</f>
        <v>0</v>
      </c>
      <c r="K57" s="138">
        <f>SUM(K7:K55)</f>
        <v>1</v>
      </c>
      <c r="L57" s="128">
        <f t="shared" ref="L57" si="9">SUM(L7:L56)</f>
        <v>7215296</v>
      </c>
      <c r="M57" s="128">
        <f>SUM(M7:M56)</f>
        <v>-7215304</v>
      </c>
      <c r="N57" s="107"/>
      <c r="O57" s="128">
        <f>SUM(O7:O56)</f>
        <v>69679121</v>
      </c>
      <c r="P57" s="128">
        <f>SUM(P7:P56)</f>
        <v>2385200</v>
      </c>
      <c r="Q57" s="128">
        <f>SUM(Q7:Q56)</f>
        <v>170249312</v>
      </c>
      <c r="R57" s="107"/>
      <c r="S57" s="128">
        <f>SUM(S7:S56)+S61</f>
        <v>0</v>
      </c>
      <c r="T57" s="128">
        <f>SUM(T7:T56)+T61</f>
        <v>0</v>
      </c>
      <c r="U57" s="128">
        <f>SUM(U7:U56)+U61</f>
        <v>-126023336</v>
      </c>
      <c r="V57" s="111"/>
      <c r="W57" s="128">
        <f>SUM(W7:W56)+W61</f>
        <v>660782453</v>
      </c>
      <c r="X57" s="111"/>
      <c r="Y57" s="128">
        <f>SUM(Y7:Y56)+Y61</f>
        <v>95428280</v>
      </c>
      <c r="AA57" s="40"/>
    </row>
    <row r="58" spans="1:27" x14ac:dyDescent="0.25">
      <c r="A58" s="106"/>
      <c r="B58" s="107"/>
      <c r="C58" s="131"/>
      <c r="D58" s="131"/>
      <c r="E58" s="128"/>
      <c r="F58" s="128"/>
      <c r="G58" s="121"/>
      <c r="H58" s="112"/>
      <c r="I58" s="108"/>
      <c r="K58" s="121"/>
      <c r="L58" s="128"/>
      <c r="M58" s="128"/>
      <c r="N58" s="107"/>
      <c r="O58" s="111"/>
      <c r="P58" s="111"/>
      <c r="Q58" s="111"/>
      <c r="R58" s="107"/>
      <c r="S58" s="128"/>
      <c r="T58" s="128"/>
      <c r="U58" s="128"/>
      <c r="V58" s="111"/>
      <c r="W58" s="111"/>
      <c r="X58" s="111"/>
      <c r="Y58" s="128"/>
    </row>
    <row r="59" spans="1:27" x14ac:dyDescent="0.25">
      <c r="A59" s="106"/>
      <c r="B59" s="107"/>
      <c r="C59" s="123"/>
      <c r="D59" s="121"/>
      <c r="E59" s="128"/>
      <c r="F59" s="128"/>
      <c r="G59" s="121"/>
      <c r="H59" s="108"/>
      <c r="I59" s="108"/>
      <c r="K59" s="121"/>
      <c r="L59" s="128"/>
      <c r="M59" s="128"/>
      <c r="N59" s="107"/>
      <c r="O59" s="130" t="s">
        <v>60</v>
      </c>
      <c r="P59" s="68"/>
      <c r="Q59" s="131"/>
      <c r="R59" s="131"/>
      <c r="S59" s="132"/>
      <c r="T59" s="132"/>
      <c r="U59" s="121">
        <v>5.0999999999999996</v>
      </c>
      <c r="V59" s="133" t="s">
        <v>61</v>
      </c>
      <c r="W59" s="128"/>
      <c r="X59" s="111"/>
      <c r="Y59" s="128"/>
    </row>
    <row r="60" spans="1:27" x14ac:dyDescent="0.25">
      <c r="A60" s="106"/>
      <c r="B60" s="107"/>
      <c r="C60" s="123"/>
      <c r="D60" s="121"/>
      <c r="E60" s="68"/>
      <c r="F60" s="68"/>
      <c r="G60" s="121"/>
      <c r="H60" s="108"/>
      <c r="I60" s="108"/>
      <c r="K60" s="68"/>
      <c r="L60" s="68"/>
      <c r="M60" s="68"/>
      <c r="N60" s="107"/>
      <c r="O60" s="130" t="s">
        <v>196</v>
      </c>
      <c r="P60" s="122"/>
      <c r="Q60" s="68"/>
      <c r="R60" s="68"/>
      <c r="S60" s="68"/>
      <c r="T60" s="68"/>
      <c r="U60" s="134">
        <v>86264868</v>
      </c>
      <c r="V60" s="107"/>
      <c r="W60" s="107"/>
      <c r="X60" s="107"/>
      <c r="Y60" s="68"/>
    </row>
    <row r="61" spans="1:27" x14ac:dyDescent="0.25">
      <c r="A61" s="106"/>
      <c r="B61" s="68" t="s">
        <v>153</v>
      </c>
      <c r="C61" s="123"/>
      <c r="D61" s="121"/>
      <c r="E61" s="68">
        <v>0</v>
      </c>
      <c r="F61" s="68">
        <v>-6</v>
      </c>
      <c r="G61" s="121">
        <v>-6</v>
      </c>
      <c r="H61" s="121">
        <v>-4</v>
      </c>
      <c r="I61" s="121">
        <v>-4</v>
      </c>
      <c r="K61" s="68">
        <v>0</v>
      </c>
      <c r="L61" s="68"/>
      <c r="M61" s="68"/>
      <c r="N61" s="107"/>
      <c r="O61" s="107"/>
      <c r="P61" s="109"/>
      <c r="Q61" s="107"/>
      <c r="R61" s="107"/>
      <c r="S61" s="68">
        <v>0</v>
      </c>
      <c r="T61" s="68">
        <v>0</v>
      </c>
      <c r="U61" s="128">
        <v>0</v>
      </c>
      <c r="V61" s="107"/>
      <c r="W61" s="68">
        <v>0</v>
      </c>
      <c r="X61" s="107"/>
      <c r="Y61" s="68">
        <v>0</v>
      </c>
    </row>
  </sheetData>
  <mergeCells count="3">
    <mergeCell ref="K3:M3"/>
    <mergeCell ref="O3:Q3"/>
    <mergeCell ref="S3:U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F09F5-49B1-464D-BF62-A65408A18CAD}">
  <dimension ref="A1:AA61"/>
  <sheetViews>
    <sheetView workbookViewId="0">
      <selection activeCell="C9" sqref="C9"/>
    </sheetView>
  </sheetViews>
  <sheetFormatPr defaultRowHeight="15" x14ac:dyDescent="0.25"/>
  <cols>
    <col min="1" max="1" width="3.5703125" style="46" bestFit="1" customWidth="1"/>
    <col min="2" max="2" width="15" style="50" bestFit="1" customWidth="1"/>
    <col min="3" max="3" width="10.7109375" style="85" bestFit="1" customWidth="1"/>
    <col min="4" max="4" width="10.7109375" style="90" bestFit="1" customWidth="1"/>
    <col min="5" max="5" width="11.140625" style="90" bestFit="1" customWidth="1"/>
    <col min="6" max="6" width="10.7109375" style="90" bestFit="1" customWidth="1"/>
    <col min="7" max="7" width="9.7109375" style="90" bestFit="1" customWidth="1"/>
    <col min="8" max="9" width="9.85546875" style="90" bestFit="1" customWidth="1"/>
    <col min="10" max="10" width="11.140625" style="121" customWidth="1"/>
    <col min="11" max="11" width="8.7109375" style="50" bestFit="1" customWidth="1"/>
    <col min="12" max="12" width="9.28515625" style="50" bestFit="1" customWidth="1"/>
    <col min="13" max="13" width="9.7109375" style="50" bestFit="1" customWidth="1"/>
    <col min="14" max="14" width="0.85546875" style="50" customWidth="1"/>
    <col min="15" max="15" width="10.7109375" style="50" bestFit="1" customWidth="1"/>
    <col min="16" max="16" width="12.42578125" style="51" bestFit="1" customWidth="1"/>
    <col min="17" max="17" width="10.7109375" style="50" customWidth="1"/>
    <col min="18" max="18" width="2.28515625" style="50" customWidth="1"/>
    <col min="19" max="19" width="10.7109375" style="50" bestFit="1" customWidth="1"/>
    <col min="20" max="20" width="11.7109375" style="50" customWidth="1"/>
    <col min="21" max="21" width="12.7109375" style="50" bestFit="1" customWidth="1"/>
    <col min="22" max="22" width="2.28515625" style="50" customWidth="1"/>
    <col min="23" max="23" width="12.7109375" style="50" bestFit="1" customWidth="1"/>
    <col min="24" max="24" width="2.28515625" style="50" customWidth="1"/>
    <col min="25" max="25" width="11.140625" style="50" bestFit="1" customWidth="1"/>
    <col min="27" max="27" width="12.5703125" bestFit="1" customWidth="1"/>
  </cols>
  <sheetData>
    <row r="1" spans="1:27" s="130" customFormat="1" x14ac:dyDescent="0.25">
      <c r="A1" s="119"/>
      <c r="B1" s="68"/>
      <c r="C1" s="120" t="s">
        <v>157</v>
      </c>
      <c r="D1" s="121"/>
      <c r="E1" s="121"/>
      <c r="F1" s="121"/>
      <c r="G1" s="121"/>
      <c r="H1" s="121"/>
      <c r="I1" s="121"/>
      <c r="J1" s="121"/>
      <c r="K1" s="68"/>
      <c r="L1" s="68"/>
      <c r="M1" s="68"/>
      <c r="N1" s="68"/>
      <c r="O1" s="120" t="s">
        <v>158</v>
      </c>
      <c r="P1" s="122"/>
      <c r="Q1" s="68"/>
      <c r="R1" s="68"/>
      <c r="S1" s="68"/>
      <c r="T1" s="68"/>
      <c r="U1" s="68"/>
      <c r="V1" s="68"/>
      <c r="W1" s="68"/>
      <c r="X1" s="68"/>
      <c r="Y1" s="68"/>
    </row>
    <row r="2" spans="1:27" x14ac:dyDescent="0.25">
      <c r="A2" s="106"/>
      <c r="B2" s="107"/>
      <c r="C2" s="110"/>
      <c r="D2" s="108"/>
      <c r="E2" s="108"/>
      <c r="F2" s="108"/>
      <c r="G2" s="108"/>
      <c r="H2" s="121"/>
      <c r="I2" s="121"/>
      <c r="K2" s="107"/>
      <c r="L2" s="107"/>
      <c r="M2" s="107"/>
      <c r="N2" s="107"/>
      <c r="O2" s="107"/>
      <c r="P2" s="109"/>
      <c r="Q2" s="107"/>
      <c r="R2" s="107"/>
      <c r="S2" s="107"/>
      <c r="T2" s="107"/>
      <c r="U2" s="107"/>
      <c r="V2" s="107"/>
      <c r="W2" s="107"/>
      <c r="X2" s="107"/>
      <c r="Y2" s="107"/>
    </row>
    <row r="3" spans="1:27" x14ac:dyDescent="0.25">
      <c r="A3" s="106"/>
      <c r="B3" s="107"/>
      <c r="C3" s="110"/>
      <c r="D3" s="108"/>
      <c r="E3" s="108"/>
      <c r="F3" s="108"/>
      <c r="G3" s="108"/>
      <c r="H3" s="115" t="s">
        <v>78</v>
      </c>
      <c r="I3" s="121"/>
      <c r="K3" s="168" t="s">
        <v>79</v>
      </c>
      <c r="L3" s="168"/>
      <c r="M3" s="168"/>
      <c r="N3" s="107"/>
      <c r="O3" s="169" t="s">
        <v>27</v>
      </c>
      <c r="P3" s="169"/>
      <c r="Q3" s="169"/>
      <c r="R3" s="107"/>
      <c r="S3" s="169" t="s">
        <v>30</v>
      </c>
      <c r="T3" s="169"/>
      <c r="U3" s="169"/>
      <c r="V3" s="107"/>
      <c r="W3" s="107"/>
      <c r="X3" s="107"/>
      <c r="Y3" s="107"/>
    </row>
    <row r="4" spans="1:27" x14ac:dyDescent="0.25">
      <c r="A4" s="119"/>
      <c r="B4" s="68"/>
      <c r="C4" s="113">
        <v>44742</v>
      </c>
      <c r="D4" s="113">
        <v>45107</v>
      </c>
      <c r="E4" s="113">
        <v>44742</v>
      </c>
      <c r="F4" s="108"/>
      <c r="G4" s="115" t="s">
        <v>80</v>
      </c>
      <c r="H4" s="115" t="s">
        <v>49</v>
      </c>
      <c r="I4" s="115" t="s">
        <v>49</v>
      </c>
      <c r="J4" s="115" t="s">
        <v>81</v>
      </c>
      <c r="K4" s="68"/>
      <c r="L4" s="68"/>
      <c r="M4" s="68"/>
      <c r="N4" s="107"/>
      <c r="O4" s="115" t="s">
        <v>82</v>
      </c>
      <c r="P4" s="122"/>
      <c r="Q4" s="115" t="s">
        <v>83</v>
      </c>
      <c r="R4" s="135"/>
      <c r="S4" s="115" t="s">
        <v>82</v>
      </c>
      <c r="T4" s="68"/>
      <c r="U4" s="115" t="s">
        <v>83</v>
      </c>
      <c r="V4" s="135"/>
      <c r="W4" s="115" t="s">
        <v>159</v>
      </c>
      <c r="X4" s="135"/>
      <c r="Y4" s="119" t="s">
        <v>84</v>
      </c>
    </row>
    <row r="5" spans="1:27" x14ac:dyDescent="0.25">
      <c r="A5" s="119" t="s">
        <v>154</v>
      </c>
      <c r="B5" s="68"/>
      <c r="C5" s="114" t="s">
        <v>85</v>
      </c>
      <c r="D5" s="114" t="s">
        <v>85</v>
      </c>
      <c r="E5" s="115" t="s">
        <v>86</v>
      </c>
      <c r="F5" s="115" t="s">
        <v>87</v>
      </c>
      <c r="G5" s="115" t="s">
        <v>85</v>
      </c>
      <c r="H5" s="115" t="s">
        <v>88</v>
      </c>
      <c r="I5" s="115" t="s">
        <v>88</v>
      </c>
      <c r="J5" s="115" t="s">
        <v>89</v>
      </c>
      <c r="K5" s="115" t="s">
        <v>90</v>
      </c>
      <c r="L5" s="119" t="s">
        <v>91</v>
      </c>
      <c r="M5" s="119" t="s">
        <v>91</v>
      </c>
      <c r="N5" s="107"/>
      <c r="O5" s="119" t="s">
        <v>92</v>
      </c>
      <c r="P5" s="124" t="s">
        <v>160</v>
      </c>
      <c r="Q5" s="119" t="s">
        <v>92</v>
      </c>
      <c r="R5" s="106"/>
      <c r="S5" s="119" t="s">
        <v>92</v>
      </c>
      <c r="T5" s="115" t="s">
        <v>160</v>
      </c>
      <c r="U5" s="119" t="s">
        <v>92</v>
      </c>
      <c r="V5" s="106"/>
      <c r="W5" s="115" t="s">
        <v>87</v>
      </c>
      <c r="X5" s="135"/>
      <c r="Y5" s="119" t="s">
        <v>90</v>
      </c>
    </row>
    <row r="6" spans="1:27" ht="20.100000000000001" customHeight="1" x14ac:dyDescent="0.35">
      <c r="A6" s="125" t="s">
        <v>155</v>
      </c>
      <c r="B6" s="57" t="s">
        <v>93</v>
      </c>
      <c r="C6" s="116" t="s">
        <v>94</v>
      </c>
      <c r="D6" s="116" t="s">
        <v>94</v>
      </c>
      <c r="E6" s="117" t="s">
        <v>95</v>
      </c>
      <c r="F6" s="118">
        <v>44742</v>
      </c>
      <c r="G6" s="117" t="s">
        <v>96</v>
      </c>
      <c r="H6" s="117" t="s">
        <v>97</v>
      </c>
      <c r="I6" s="117" t="s">
        <v>97</v>
      </c>
      <c r="J6" s="117" t="s">
        <v>98</v>
      </c>
      <c r="K6" s="117" t="s">
        <v>56</v>
      </c>
      <c r="L6" s="117" t="s">
        <v>99</v>
      </c>
      <c r="M6" s="126" t="s">
        <v>100</v>
      </c>
      <c r="N6" s="107"/>
      <c r="O6" s="126" t="s">
        <v>101</v>
      </c>
      <c r="P6" s="127" t="s">
        <v>102</v>
      </c>
      <c r="Q6" s="126" t="s">
        <v>103</v>
      </c>
      <c r="R6" s="137"/>
      <c r="S6" s="126" t="s">
        <v>101</v>
      </c>
      <c r="T6" s="126" t="s">
        <v>102</v>
      </c>
      <c r="U6" s="126" t="s">
        <v>103</v>
      </c>
      <c r="V6" s="137"/>
      <c r="W6" s="118">
        <v>45107</v>
      </c>
      <c r="X6" s="136"/>
      <c r="Y6" s="126" t="s">
        <v>56</v>
      </c>
    </row>
    <row r="7" spans="1:27" ht="20.100000000000001" customHeight="1" x14ac:dyDescent="0.25">
      <c r="A7" s="119">
        <v>101</v>
      </c>
      <c r="B7" s="63" t="s">
        <v>104</v>
      </c>
      <c r="C7" s="123">
        <f>'MFPRSI Supplemental info 2022'!D7</f>
        <v>2.5657909999999999E-2</v>
      </c>
      <c r="D7" s="123">
        <v>2.5360319999999999E-2</v>
      </c>
      <c r="E7" s="128">
        <f>'MFPRSI Supplemental info 2022'!W7</f>
        <v>14408725</v>
      </c>
      <c r="F7" s="128">
        <f>ROUND($E$57*D7,0)</f>
        <v>14241607</v>
      </c>
      <c r="G7" s="128">
        <f>F7-E7</f>
        <v>-167118</v>
      </c>
      <c r="H7" s="128">
        <f>ROUND(D7*$U$60,0)</f>
        <v>2197833</v>
      </c>
      <c r="I7" s="128">
        <f>H7</f>
        <v>2197833</v>
      </c>
      <c r="J7" s="128">
        <f>H7-I7</f>
        <v>0</v>
      </c>
      <c r="K7" s="122">
        <f>ROUND((G7+J7)/$U$59,0)</f>
        <v>-32768</v>
      </c>
      <c r="L7" s="129">
        <f>IF(K7&lt;0,0,G7+J7-K7)</f>
        <v>0</v>
      </c>
      <c r="M7" s="122">
        <f>IF(G7&lt;0,(G7+J7-K7),0)</f>
        <v>-134350</v>
      </c>
      <c r="N7" s="107"/>
      <c r="O7" s="122">
        <v>1213301</v>
      </c>
      <c r="P7" s="128">
        <v>80002</v>
      </c>
      <c r="Q7" s="122">
        <v>7034900</v>
      </c>
      <c r="R7" s="107"/>
      <c r="S7" s="128">
        <v>0</v>
      </c>
      <c r="T7" s="122">
        <v>0</v>
      </c>
      <c r="U7" s="128">
        <v>-6023703</v>
      </c>
      <c r="V7" s="107"/>
      <c r="W7" s="128">
        <v>15880608</v>
      </c>
      <c r="X7" s="111"/>
      <c r="Y7" s="128">
        <v>2269603</v>
      </c>
      <c r="AA7" s="40"/>
    </row>
    <row r="8" spans="1:27" ht="20.100000000000001" customHeight="1" x14ac:dyDescent="0.25">
      <c r="A8" s="119">
        <v>102</v>
      </c>
      <c r="B8" s="63" t="s">
        <v>105</v>
      </c>
      <c r="C8" s="123">
        <f>'MFPRSI Supplemental info 2022'!D8</f>
        <v>2.895932E-2</v>
      </c>
      <c r="D8" s="123">
        <v>3.106217E-2</v>
      </c>
      <c r="E8" s="128">
        <f>'MFPRSI Supplemental info 2022'!W8</f>
        <v>16262699</v>
      </c>
      <c r="F8" s="128">
        <f t="shared" ref="F8:F54" si="0">ROUND($E$57*D8,0)</f>
        <v>17443598</v>
      </c>
      <c r="G8" s="128">
        <f t="shared" ref="G8:G55" si="1">F8-E8</f>
        <v>1180899</v>
      </c>
      <c r="H8" s="128">
        <f t="shared" ref="H8:H55" si="2">ROUND(D8*$U$60,0)</f>
        <v>2691979</v>
      </c>
      <c r="I8" s="128">
        <f t="shared" ref="I8:I55" si="3">H8</f>
        <v>2691979</v>
      </c>
      <c r="J8" s="128">
        <f t="shared" ref="J8:J55" si="4">H8-I8</f>
        <v>0</v>
      </c>
      <c r="K8" s="122">
        <f t="shared" ref="K8:K55" si="5">ROUND((G8+J8)/$U$59,0)</f>
        <v>231549</v>
      </c>
      <c r="L8" s="122">
        <f t="shared" ref="L8:L55" si="6">IF(K8&lt;0,0,G8+J8-K8)</f>
        <v>949350</v>
      </c>
      <c r="M8" s="122">
        <f t="shared" ref="M8:M55" si="7">IF(G8&lt;0,(G8+J8-K8),0)</f>
        <v>0</v>
      </c>
      <c r="N8" s="107"/>
      <c r="O8" s="122">
        <v>1486092</v>
      </c>
      <c r="P8" s="128">
        <v>97989</v>
      </c>
      <c r="Q8" s="122">
        <v>8616581</v>
      </c>
      <c r="R8" s="107"/>
      <c r="S8" s="128">
        <v>0</v>
      </c>
      <c r="T8" s="122">
        <v>0</v>
      </c>
      <c r="U8" s="128">
        <v>-7378033</v>
      </c>
      <c r="V8" s="107"/>
      <c r="W8" s="128">
        <v>19451101</v>
      </c>
      <c r="X8" s="111"/>
      <c r="Y8" s="128">
        <v>2779886</v>
      </c>
      <c r="AA8" s="40"/>
    </row>
    <row r="9" spans="1:27" ht="20.100000000000001" customHeight="1" x14ac:dyDescent="0.25">
      <c r="A9" s="119">
        <v>103</v>
      </c>
      <c r="B9" s="63" t="s">
        <v>106</v>
      </c>
      <c r="C9" s="123">
        <f>'MFPRSI Supplemental info 2022'!D9</f>
        <v>1.9275E-2</v>
      </c>
      <c r="D9" s="123">
        <v>1.9883720000000001E-2</v>
      </c>
      <c r="E9" s="128">
        <f>'MFPRSI Supplemental info 2022'!W9</f>
        <v>10824271</v>
      </c>
      <c r="F9" s="128">
        <f t="shared" si="0"/>
        <v>11166110</v>
      </c>
      <c r="G9" s="128">
        <f t="shared" si="1"/>
        <v>341839</v>
      </c>
      <c r="H9" s="128">
        <f t="shared" si="2"/>
        <v>1723207</v>
      </c>
      <c r="I9" s="128">
        <f t="shared" si="3"/>
        <v>1723207</v>
      </c>
      <c r="J9" s="128">
        <f t="shared" si="4"/>
        <v>0</v>
      </c>
      <c r="K9" s="122">
        <f t="shared" si="5"/>
        <v>67027</v>
      </c>
      <c r="L9" s="122">
        <f t="shared" si="6"/>
        <v>274812</v>
      </c>
      <c r="M9" s="122">
        <f t="shared" si="7"/>
        <v>0</v>
      </c>
      <c r="N9" s="107"/>
      <c r="O9" s="122">
        <v>951287</v>
      </c>
      <c r="P9" s="128">
        <v>62726</v>
      </c>
      <c r="Q9" s="122">
        <v>5515702</v>
      </c>
      <c r="R9" s="107"/>
      <c r="S9" s="128">
        <v>0</v>
      </c>
      <c r="T9" s="122">
        <v>0</v>
      </c>
      <c r="U9" s="128">
        <v>-4722875</v>
      </c>
      <c r="V9" s="107"/>
      <c r="W9" s="128">
        <v>12451167</v>
      </c>
      <c r="X9" s="111"/>
      <c r="Y9" s="128">
        <v>1779479</v>
      </c>
      <c r="AA9" s="40"/>
    </row>
    <row r="10" spans="1:27" ht="20.100000000000001" customHeight="1" x14ac:dyDescent="0.25">
      <c r="A10" s="119">
        <v>104</v>
      </c>
      <c r="B10" s="63" t="s">
        <v>107</v>
      </c>
      <c r="C10" s="123">
        <f>'MFPRSI Supplemental info 2022'!D10</f>
        <v>5.6354500000000002E-3</v>
      </c>
      <c r="D10" s="123">
        <v>5.3001400000000001E-3</v>
      </c>
      <c r="E10" s="128">
        <f>'MFPRSI Supplemental info 2022'!W10</f>
        <v>3164702</v>
      </c>
      <c r="F10" s="128">
        <f t="shared" si="0"/>
        <v>2976402</v>
      </c>
      <c r="G10" s="128">
        <f t="shared" si="1"/>
        <v>-188300</v>
      </c>
      <c r="H10" s="128">
        <f t="shared" si="2"/>
        <v>459333</v>
      </c>
      <c r="I10" s="128">
        <f t="shared" si="3"/>
        <v>459333</v>
      </c>
      <c r="J10" s="128">
        <f t="shared" si="4"/>
        <v>0</v>
      </c>
      <c r="K10" s="122">
        <f t="shared" si="5"/>
        <v>-36922</v>
      </c>
      <c r="L10" s="122">
        <f t="shared" si="6"/>
        <v>0</v>
      </c>
      <c r="M10" s="122">
        <f t="shared" si="7"/>
        <v>-151378</v>
      </c>
      <c r="N10" s="107"/>
      <c r="O10" s="122">
        <v>253572</v>
      </c>
      <c r="P10" s="128">
        <v>16720</v>
      </c>
      <c r="Q10" s="122">
        <v>1470248</v>
      </c>
      <c r="R10" s="107"/>
      <c r="S10" s="128">
        <v>0</v>
      </c>
      <c r="T10" s="122">
        <v>0</v>
      </c>
      <c r="U10" s="128">
        <v>-1258914</v>
      </c>
      <c r="V10" s="107"/>
      <c r="W10" s="128">
        <v>3318943</v>
      </c>
      <c r="X10" s="111"/>
      <c r="Y10" s="128">
        <v>474332</v>
      </c>
      <c r="AA10" s="40"/>
    </row>
    <row r="11" spans="1:27" ht="20.100000000000001" customHeight="1" x14ac:dyDescent="0.25">
      <c r="A11" s="119">
        <v>105</v>
      </c>
      <c r="B11" s="63" t="s">
        <v>108</v>
      </c>
      <c r="C11" s="123">
        <f>'MFPRSI Supplemental info 2022'!D11</f>
        <v>1.8328790000000001E-2</v>
      </c>
      <c r="D11" s="123">
        <v>1.704456E-2</v>
      </c>
      <c r="E11" s="128">
        <f>'MFPRSI Supplemental info 2022'!W11</f>
        <v>10292907</v>
      </c>
      <c r="F11" s="128">
        <f t="shared" si="0"/>
        <v>9571722</v>
      </c>
      <c r="G11" s="128">
        <f t="shared" si="1"/>
        <v>-721185</v>
      </c>
      <c r="H11" s="128">
        <f t="shared" si="2"/>
        <v>1477154</v>
      </c>
      <c r="I11" s="128">
        <f t="shared" si="3"/>
        <v>1477154</v>
      </c>
      <c r="J11" s="128">
        <f t="shared" si="4"/>
        <v>0</v>
      </c>
      <c r="K11" s="122">
        <f t="shared" si="5"/>
        <v>-141409</v>
      </c>
      <c r="L11" s="122">
        <f t="shared" si="6"/>
        <v>0</v>
      </c>
      <c r="M11" s="122">
        <f t="shared" si="7"/>
        <v>-579776</v>
      </c>
      <c r="N11" s="107"/>
      <c r="O11" s="122">
        <v>815454</v>
      </c>
      <c r="P11" s="128">
        <v>53769</v>
      </c>
      <c r="Q11" s="122">
        <v>4728125</v>
      </c>
      <c r="R11" s="107"/>
      <c r="S11" s="128">
        <v>0</v>
      </c>
      <c r="T11" s="122">
        <v>0</v>
      </c>
      <c r="U11" s="128">
        <v>-4048504</v>
      </c>
      <c r="V11" s="107"/>
      <c r="W11" s="128">
        <v>10673287</v>
      </c>
      <c r="X11" s="111"/>
      <c r="Y11" s="128">
        <v>1525390</v>
      </c>
      <c r="AA11" s="40"/>
    </row>
    <row r="12" spans="1:27" ht="20.100000000000001" customHeight="1" x14ac:dyDescent="0.25">
      <c r="A12" s="119">
        <v>106</v>
      </c>
      <c r="B12" s="63" t="s">
        <v>109</v>
      </c>
      <c r="C12" s="123">
        <f>'MFPRSI Supplemental info 2022'!D12</f>
        <v>2.8699300000000001E-3</v>
      </c>
      <c r="D12" s="123">
        <v>2.7178800000000002E-3</v>
      </c>
      <c r="E12" s="128">
        <f>'MFPRSI Supplemental info 2022'!W12</f>
        <v>1611668</v>
      </c>
      <c r="F12" s="128">
        <f t="shared" si="0"/>
        <v>1526281</v>
      </c>
      <c r="G12" s="128">
        <f t="shared" si="1"/>
        <v>-85387</v>
      </c>
      <c r="H12" s="128">
        <f t="shared" si="2"/>
        <v>235543</v>
      </c>
      <c r="I12" s="128">
        <f t="shared" si="3"/>
        <v>235543</v>
      </c>
      <c r="J12" s="128">
        <f t="shared" si="4"/>
        <v>0</v>
      </c>
      <c r="K12" s="122">
        <f t="shared" si="5"/>
        <v>-16743</v>
      </c>
      <c r="L12" s="122">
        <f t="shared" si="6"/>
        <v>0</v>
      </c>
      <c r="M12" s="122">
        <f t="shared" si="7"/>
        <v>-68644</v>
      </c>
      <c r="N12" s="107"/>
      <c r="O12" s="122">
        <v>130030</v>
      </c>
      <c r="P12" s="128">
        <v>8574</v>
      </c>
      <c r="Q12" s="122">
        <v>753934</v>
      </c>
      <c r="R12" s="107"/>
      <c r="S12" s="128">
        <v>0</v>
      </c>
      <c r="T12" s="122">
        <v>0</v>
      </c>
      <c r="U12" s="128">
        <v>-645564</v>
      </c>
      <c r="V12" s="107"/>
      <c r="W12" s="128">
        <v>1701934</v>
      </c>
      <c r="X12" s="111"/>
      <c r="Y12" s="128">
        <v>243235</v>
      </c>
      <c r="AA12" s="40"/>
    </row>
    <row r="13" spans="1:27" ht="20.100000000000001" customHeight="1" x14ac:dyDescent="0.25">
      <c r="A13" s="119">
        <v>107</v>
      </c>
      <c r="B13" s="63" t="s">
        <v>110</v>
      </c>
      <c r="C13" s="123">
        <f>'MFPRSI Supplemental info 2022'!D13</f>
        <v>3.0856E-3</v>
      </c>
      <c r="D13" s="123">
        <v>2.9474000000000002E-3</v>
      </c>
      <c r="E13" s="128">
        <f>'MFPRSI Supplemental info 2022'!W13</f>
        <v>1732782</v>
      </c>
      <c r="F13" s="128">
        <f t="shared" si="0"/>
        <v>1655173</v>
      </c>
      <c r="G13" s="128">
        <f t="shared" si="1"/>
        <v>-77609</v>
      </c>
      <c r="H13" s="128">
        <f t="shared" si="2"/>
        <v>255434</v>
      </c>
      <c r="I13" s="128">
        <f t="shared" si="3"/>
        <v>255434</v>
      </c>
      <c r="J13" s="128">
        <f t="shared" si="4"/>
        <v>0</v>
      </c>
      <c r="K13" s="122">
        <f t="shared" si="5"/>
        <v>-15217</v>
      </c>
      <c r="L13" s="122">
        <f t="shared" si="6"/>
        <v>0</v>
      </c>
      <c r="M13" s="122">
        <f t="shared" si="7"/>
        <v>-62392</v>
      </c>
      <c r="N13" s="107"/>
      <c r="O13" s="122">
        <v>141011</v>
      </c>
      <c r="P13" s="128">
        <v>9298</v>
      </c>
      <c r="Q13" s="122">
        <v>817603</v>
      </c>
      <c r="R13" s="107"/>
      <c r="S13" s="128">
        <v>0</v>
      </c>
      <c r="T13" s="122">
        <v>0</v>
      </c>
      <c r="U13" s="128">
        <v>-700080</v>
      </c>
      <c r="V13" s="107"/>
      <c r="W13" s="128">
        <v>1845659</v>
      </c>
      <c r="X13" s="111"/>
      <c r="Y13" s="128">
        <v>263775</v>
      </c>
      <c r="AA13" s="40"/>
    </row>
    <row r="14" spans="1:27" ht="20.100000000000001" customHeight="1" x14ac:dyDescent="0.25">
      <c r="A14" s="119">
        <v>108</v>
      </c>
      <c r="B14" s="63" t="s">
        <v>111</v>
      </c>
      <c r="C14" s="123">
        <f>'MFPRSI Supplemental info 2022'!D14</f>
        <v>1.749498E-2</v>
      </c>
      <c r="D14" s="123">
        <v>1.844643E-2</v>
      </c>
      <c r="E14" s="128">
        <f>'MFPRSI Supplemental info 2022'!W14</f>
        <v>9824664</v>
      </c>
      <c r="F14" s="128">
        <f t="shared" si="0"/>
        <v>10358970</v>
      </c>
      <c r="G14" s="128">
        <f t="shared" si="1"/>
        <v>534306</v>
      </c>
      <c r="H14" s="128">
        <f t="shared" si="2"/>
        <v>1598646</v>
      </c>
      <c r="I14" s="128">
        <f t="shared" si="3"/>
        <v>1598646</v>
      </c>
      <c r="J14" s="128">
        <f t="shared" si="4"/>
        <v>0</v>
      </c>
      <c r="K14" s="122">
        <f t="shared" si="5"/>
        <v>104766</v>
      </c>
      <c r="L14" s="122">
        <f t="shared" si="6"/>
        <v>429540</v>
      </c>
      <c r="M14" s="122">
        <f t="shared" si="7"/>
        <v>0</v>
      </c>
      <c r="N14" s="107"/>
      <c r="O14" s="122">
        <v>882523</v>
      </c>
      <c r="P14" s="128">
        <v>58191</v>
      </c>
      <c r="Q14" s="122">
        <v>5117001</v>
      </c>
      <c r="R14" s="107"/>
      <c r="S14" s="128">
        <v>0</v>
      </c>
      <c r="T14" s="122">
        <v>0</v>
      </c>
      <c r="U14" s="128">
        <v>-4381483</v>
      </c>
      <c r="V14" s="107"/>
      <c r="W14" s="128">
        <v>11551137</v>
      </c>
      <c r="X14" s="111"/>
      <c r="Y14" s="128">
        <v>1650850</v>
      </c>
      <c r="AA14" s="40"/>
    </row>
    <row r="15" spans="1:27" ht="20.100000000000001" customHeight="1" x14ac:dyDescent="0.25">
      <c r="A15" s="119">
        <v>109</v>
      </c>
      <c r="B15" s="63" t="s">
        <v>112</v>
      </c>
      <c r="C15" s="123">
        <f>'MFPRSI Supplemental info 2022'!D15</f>
        <v>9.2451000000000005E-2</v>
      </c>
      <c r="D15" s="123">
        <v>9.0551660000000006E-2</v>
      </c>
      <c r="E15" s="128">
        <f>'MFPRSI Supplemental info 2022'!W15</f>
        <v>51917752</v>
      </c>
      <c r="F15" s="128">
        <f t="shared" si="0"/>
        <v>50851139</v>
      </c>
      <c r="G15" s="128">
        <f t="shared" si="1"/>
        <v>-1066613</v>
      </c>
      <c r="H15" s="128">
        <f t="shared" si="2"/>
        <v>7847590</v>
      </c>
      <c r="I15" s="128">
        <f t="shared" si="3"/>
        <v>7847590</v>
      </c>
      <c r="J15" s="128">
        <f t="shared" si="4"/>
        <v>0</v>
      </c>
      <c r="K15" s="122">
        <f t="shared" si="5"/>
        <v>-209140</v>
      </c>
      <c r="L15" s="122">
        <f t="shared" si="6"/>
        <v>0</v>
      </c>
      <c r="M15" s="122">
        <f t="shared" si="7"/>
        <v>-857473</v>
      </c>
      <c r="N15" s="107"/>
      <c r="O15" s="122">
        <v>4332217</v>
      </c>
      <c r="P15" s="128">
        <v>285656</v>
      </c>
      <c r="Q15" s="122">
        <v>25118841</v>
      </c>
      <c r="R15" s="107"/>
      <c r="S15" s="128">
        <v>0</v>
      </c>
      <c r="T15" s="122">
        <v>0</v>
      </c>
      <c r="U15" s="128">
        <v>-21508257</v>
      </c>
      <c r="V15" s="107"/>
      <c r="W15" s="128">
        <v>56703363</v>
      </c>
      <c r="X15" s="111"/>
      <c r="Y15" s="128">
        <v>8103854</v>
      </c>
      <c r="AA15" s="40"/>
    </row>
    <row r="16" spans="1:27" ht="20.100000000000001" customHeight="1" x14ac:dyDescent="0.25">
      <c r="A16" s="119">
        <v>110</v>
      </c>
      <c r="B16" s="63" t="s">
        <v>113</v>
      </c>
      <c r="C16" s="123">
        <f>'MFPRSI Supplemental info 2022'!D16</f>
        <v>2.22449E-3</v>
      </c>
      <c r="D16" s="123">
        <v>2.00891E-3</v>
      </c>
      <c r="E16" s="128">
        <f>'MFPRSI Supplemental info 2022'!W16</f>
        <v>1249208</v>
      </c>
      <c r="F16" s="128">
        <f t="shared" si="0"/>
        <v>1128145</v>
      </c>
      <c r="G16" s="128">
        <f t="shared" si="1"/>
        <v>-121063</v>
      </c>
      <c r="H16" s="128">
        <f t="shared" si="2"/>
        <v>174101</v>
      </c>
      <c r="I16" s="128">
        <f t="shared" si="3"/>
        <v>174101</v>
      </c>
      <c r="J16" s="128">
        <f t="shared" si="4"/>
        <v>0</v>
      </c>
      <c r="K16" s="122">
        <f t="shared" si="5"/>
        <v>-23738</v>
      </c>
      <c r="L16" s="122">
        <f t="shared" si="6"/>
        <v>0</v>
      </c>
      <c r="M16" s="122">
        <f t="shared" si="7"/>
        <v>-97325</v>
      </c>
      <c r="N16" s="107"/>
      <c r="O16" s="122">
        <v>96111</v>
      </c>
      <c r="P16" s="128">
        <v>6337</v>
      </c>
      <c r="Q16" s="122">
        <v>557267</v>
      </c>
      <c r="R16" s="107"/>
      <c r="S16" s="128">
        <v>0</v>
      </c>
      <c r="T16" s="122">
        <v>0</v>
      </c>
      <c r="U16" s="128">
        <v>-477166</v>
      </c>
      <c r="V16" s="107"/>
      <c r="W16" s="128">
        <v>1257978</v>
      </c>
      <c r="X16" s="111"/>
      <c r="Y16" s="128">
        <v>179786</v>
      </c>
      <c r="AA16" s="40"/>
    </row>
    <row r="17" spans="1:27" ht="20.100000000000001" customHeight="1" x14ac:dyDescent="0.25">
      <c r="A17" s="119">
        <v>111</v>
      </c>
      <c r="B17" s="63" t="s">
        <v>114</v>
      </c>
      <c r="C17" s="123">
        <f>'MFPRSI Supplemental info 2022'!D17</f>
        <v>3.16278E-3</v>
      </c>
      <c r="D17" s="123">
        <v>3.02213E-3</v>
      </c>
      <c r="E17" s="128">
        <f>'MFPRSI Supplemental info 2022'!W17</f>
        <v>1776124</v>
      </c>
      <c r="F17" s="128">
        <f t="shared" si="0"/>
        <v>1697139</v>
      </c>
      <c r="G17" s="128">
        <f t="shared" si="1"/>
        <v>-78985</v>
      </c>
      <c r="H17" s="128">
        <f t="shared" si="2"/>
        <v>261911</v>
      </c>
      <c r="I17" s="128">
        <f t="shared" si="3"/>
        <v>261911</v>
      </c>
      <c r="J17" s="128">
        <f t="shared" si="4"/>
        <v>0</v>
      </c>
      <c r="K17" s="122">
        <f t="shared" si="5"/>
        <v>-15487</v>
      </c>
      <c r="L17" s="122">
        <f t="shared" si="6"/>
        <v>0</v>
      </c>
      <c r="M17" s="122">
        <f t="shared" si="7"/>
        <v>-63498</v>
      </c>
      <c r="N17" s="107"/>
      <c r="O17" s="122">
        <v>144586</v>
      </c>
      <c r="P17" s="128">
        <v>9534</v>
      </c>
      <c r="Q17" s="122">
        <v>838333</v>
      </c>
      <c r="R17" s="107"/>
      <c r="S17" s="128">
        <v>0</v>
      </c>
      <c r="T17" s="122">
        <v>0</v>
      </c>
      <c r="U17" s="128">
        <v>-717831</v>
      </c>
      <c r="V17" s="107"/>
      <c r="W17" s="128">
        <v>1892455</v>
      </c>
      <c r="X17" s="111"/>
      <c r="Y17" s="128">
        <v>270463</v>
      </c>
      <c r="AA17" s="40"/>
    </row>
    <row r="18" spans="1:27" ht="20.100000000000001" customHeight="1" x14ac:dyDescent="0.25">
      <c r="A18" s="119">
        <v>112</v>
      </c>
      <c r="B18" s="63" t="s">
        <v>115</v>
      </c>
      <c r="C18" s="123">
        <f>'MFPRSI Supplemental info 2022'!D18</f>
        <v>1.8349000000000001E-2</v>
      </c>
      <c r="D18" s="123">
        <v>1.8426100000000001E-2</v>
      </c>
      <c r="E18" s="128">
        <f>'MFPRSI Supplemental info 2022'!W18</f>
        <v>10304257</v>
      </c>
      <c r="F18" s="128">
        <f t="shared" si="0"/>
        <v>10347554</v>
      </c>
      <c r="G18" s="128">
        <f t="shared" si="1"/>
        <v>43297</v>
      </c>
      <c r="H18" s="128">
        <f t="shared" si="2"/>
        <v>1596884</v>
      </c>
      <c r="I18" s="128">
        <f t="shared" si="3"/>
        <v>1596884</v>
      </c>
      <c r="J18" s="128">
        <f t="shared" si="4"/>
        <v>0</v>
      </c>
      <c r="K18" s="122">
        <f t="shared" si="5"/>
        <v>8490</v>
      </c>
      <c r="L18" s="122">
        <f t="shared" si="6"/>
        <v>34807</v>
      </c>
      <c r="M18" s="122">
        <f t="shared" si="7"/>
        <v>0</v>
      </c>
      <c r="N18" s="107"/>
      <c r="O18" s="122">
        <v>881551</v>
      </c>
      <c r="P18" s="128">
        <v>58127</v>
      </c>
      <c r="Q18" s="122">
        <v>5111361</v>
      </c>
      <c r="R18" s="107"/>
      <c r="S18" s="128">
        <v>0</v>
      </c>
      <c r="T18" s="122">
        <v>0</v>
      </c>
      <c r="U18" s="128">
        <v>-4376654</v>
      </c>
      <c r="V18" s="107"/>
      <c r="W18" s="128">
        <v>11538406</v>
      </c>
      <c r="X18" s="111"/>
      <c r="Y18" s="128">
        <v>1649030</v>
      </c>
      <c r="AA18" s="40"/>
    </row>
    <row r="19" spans="1:27" ht="20.100000000000001" customHeight="1" x14ac:dyDescent="0.25">
      <c r="A19" s="119">
        <v>113</v>
      </c>
      <c r="B19" s="63" t="s">
        <v>116</v>
      </c>
      <c r="C19" s="123">
        <f>'MFPRSI Supplemental info 2022'!D19</f>
        <v>6.23107E-3</v>
      </c>
      <c r="D19" s="123">
        <v>6.4645199999999996E-3</v>
      </c>
      <c r="E19" s="128">
        <f>'MFPRSI Supplemental info 2022'!W19</f>
        <v>3499185</v>
      </c>
      <c r="F19" s="128">
        <f t="shared" si="0"/>
        <v>3630284</v>
      </c>
      <c r="G19" s="128">
        <f t="shared" si="1"/>
        <v>131099</v>
      </c>
      <c r="H19" s="128">
        <f t="shared" si="2"/>
        <v>560243</v>
      </c>
      <c r="I19" s="128">
        <f t="shared" si="3"/>
        <v>560243</v>
      </c>
      <c r="J19" s="128">
        <f t="shared" si="4"/>
        <v>0</v>
      </c>
      <c r="K19" s="122">
        <f t="shared" si="5"/>
        <v>25706</v>
      </c>
      <c r="L19" s="122">
        <f t="shared" si="6"/>
        <v>105393</v>
      </c>
      <c r="M19" s="122">
        <f t="shared" si="7"/>
        <v>0</v>
      </c>
      <c r="N19" s="107"/>
      <c r="O19" s="122">
        <v>309279</v>
      </c>
      <c r="P19" s="128">
        <v>20393</v>
      </c>
      <c r="Q19" s="122">
        <v>1793244</v>
      </c>
      <c r="R19" s="107"/>
      <c r="S19" s="128">
        <v>0</v>
      </c>
      <c r="T19" s="122">
        <v>0</v>
      </c>
      <c r="U19" s="128">
        <v>-1535483</v>
      </c>
      <c r="V19" s="107"/>
      <c r="W19" s="128">
        <v>4048076</v>
      </c>
      <c r="X19" s="111"/>
      <c r="Y19" s="128">
        <v>578537</v>
      </c>
      <c r="AA19" s="40"/>
    </row>
    <row r="20" spans="1:27" ht="20.100000000000001" customHeight="1" x14ac:dyDescent="0.25">
      <c r="A20" s="119">
        <v>114</v>
      </c>
      <c r="B20" s="63" t="s">
        <v>117</v>
      </c>
      <c r="C20" s="123">
        <f>'MFPRSI Supplemental info 2022'!D20</f>
        <v>5.7342459999999998E-2</v>
      </c>
      <c r="D20" s="123">
        <v>5.7718720000000001E-2</v>
      </c>
      <c r="E20" s="128">
        <f>'MFPRSI Supplemental info 2022'!W20</f>
        <v>32201833</v>
      </c>
      <c r="F20" s="128">
        <f t="shared" si="0"/>
        <v>32413129</v>
      </c>
      <c r="G20" s="128">
        <f t="shared" si="1"/>
        <v>211296</v>
      </c>
      <c r="H20" s="128">
        <f t="shared" si="2"/>
        <v>5002148</v>
      </c>
      <c r="I20" s="128">
        <f t="shared" si="3"/>
        <v>5002148</v>
      </c>
      <c r="J20" s="128">
        <f t="shared" si="4"/>
        <v>0</v>
      </c>
      <c r="K20" s="122">
        <f t="shared" si="5"/>
        <v>41431</v>
      </c>
      <c r="L20" s="122">
        <f t="shared" si="6"/>
        <v>169865</v>
      </c>
      <c r="M20" s="122">
        <f t="shared" si="7"/>
        <v>0</v>
      </c>
      <c r="N20" s="107"/>
      <c r="O20" s="122">
        <v>2761407</v>
      </c>
      <c r="P20" s="128">
        <v>182081</v>
      </c>
      <c r="Q20" s="122">
        <v>16011052</v>
      </c>
      <c r="R20" s="107"/>
      <c r="S20" s="128">
        <v>0</v>
      </c>
      <c r="T20" s="122">
        <v>0</v>
      </c>
      <c r="U20" s="128">
        <v>-13709622</v>
      </c>
      <c r="V20" s="107"/>
      <c r="W20" s="128">
        <v>36143408</v>
      </c>
      <c r="X20" s="111"/>
      <c r="Y20" s="128">
        <v>5165494</v>
      </c>
      <c r="AA20" s="40"/>
    </row>
    <row r="21" spans="1:27" ht="20.100000000000001" customHeight="1" x14ac:dyDescent="0.25">
      <c r="A21" s="119">
        <v>115</v>
      </c>
      <c r="B21" s="63" t="s">
        <v>118</v>
      </c>
      <c r="C21" s="123">
        <f>'MFPRSI Supplemental info 2022'!D21</f>
        <v>2.7870099999999999E-3</v>
      </c>
      <c r="D21" s="123">
        <v>2.94166E-3</v>
      </c>
      <c r="E21" s="128">
        <f>'MFPRSI Supplemental info 2022'!W21</f>
        <v>1565103</v>
      </c>
      <c r="F21" s="128">
        <f t="shared" si="0"/>
        <v>1651949</v>
      </c>
      <c r="G21" s="128">
        <f t="shared" si="1"/>
        <v>86846</v>
      </c>
      <c r="H21" s="128">
        <f t="shared" si="2"/>
        <v>254937</v>
      </c>
      <c r="I21" s="128">
        <f t="shared" si="3"/>
        <v>254937</v>
      </c>
      <c r="J21" s="128">
        <f t="shared" si="4"/>
        <v>0</v>
      </c>
      <c r="K21" s="122">
        <f t="shared" si="5"/>
        <v>17029</v>
      </c>
      <c r="L21" s="122">
        <f t="shared" si="6"/>
        <v>69817</v>
      </c>
      <c r="M21" s="122">
        <f t="shared" si="7"/>
        <v>0</v>
      </c>
      <c r="N21" s="107"/>
      <c r="O21" s="122">
        <v>140736</v>
      </c>
      <c r="P21" s="128">
        <v>9280</v>
      </c>
      <c r="Q21" s="122">
        <v>816010</v>
      </c>
      <c r="R21" s="107"/>
      <c r="S21" s="128">
        <v>0</v>
      </c>
      <c r="T21" s="122">
        <v>0</v>
      </c>
      <c r="U21" s="128">
        <v>-698717</v>
      </c>
      <c r="V21" s="107"/>
      <c r="W21" s="128">
        <v>1842065</v>
      </c>
      <c r="X21" s="111"/>
      <c r="Y21" s="128">
        <v>263262</v>
      </c>
      <c r="AA21" s="40"/>
    </row>
    <row r="22" spans="1:27" ht="20.100000000000001" customHeight="1" x14ac:dyDescent="0.25">
      <c r="A22" s="119">
        <v>116</v>
      </c>
      <c r="B22" s="63" t="s">
        <v>119</v>
      </c>
      <c r="C22" s="123">
        <f>'MFPRSI Supplemental info 2022'!D22</f>
        <v>7.2333990000000001E-2</v>
      </c>
      <c r="D22" s="123">
        <v>6.9689600000000004E-2</v>
      </c>
      <c r="E22" s="128">
        <f>'MFPRSI Supplemental info 2022'!W22</f>
        <v>40620633</v>
      </c>
      <c r="F22" s="128">
        <f t="shared" si="0"/>
        <v>39135622</v>
      </c>
      <c r="G22" s="128">
        <f t="shared" si="1"/>
        <v>-1485011</v>
      </c>
      <c r="H22" s="128">
        <f t="shared" si="2"/>
        <v>6039596</v>
      </c>
      <c r="I22" s="128">
        <f t="shared" si="3"/>
        <v>6039596</v>
      </c>
      <c r="J22" s="128">
        <f t="shared" si="4"/>
        <v>0</v>
      </c>
      <c r="K22" s="122">
        <f t="shared" si="5"/>
        <v>-291179</v>
      </c>
      <c r="L22" s="122">
        <f t="shared" si="6"/>
        <v>0</v>
      </c>
      <c r="M22" s="122">
        <f t="shared" si="7"/>
        <v>-1193832</v>
      </c>
      <c r="N22" s="107"/>
      <c r="O22" s="122">
        <v>3334124</v>
      </c>
      <c r="P22" s="128">
        <v>219844</v>
      </c>
      <c r="Q22" s="122">
        <v>19331749</v>
      </c>
      <c r="R22" s="107"/>
      <c r="S22" s="128">
        <v>0</v>
      </c>
      <c r="T22" s="122">
        <v>0</v>
      </c>
      <c r="U22" s="128">
        <v>-16553002</v>
      </c>
      <c r="V22" s="107"/>
      <c r="W22" s="128">
        <v>43639561</v>
      </c>
      <c r="X22" s="111"/>
      <c r="Y22" s="128">
        <v>6236819</v>
      </c>
      <c r="AA22" s="40"/>
    </row>
    <row r="23" spans="1:27" ht="20.100000000000001" customHeight="1" x14ac:dyDescent="0.25">
      <c r="A23" s="119">
        <v>117</v>
      </c>
      <c r="B23" s="63" t="s">
        <v>120</v>
      </c>
      <c r="C23" s="123">
        <f>'MFPRSI Supplemental info 2022'!D23</f>
        <v>2.8663E-3</v>
      </c>
      <c r="D23" s="123">
        <v>2.8968100000000001E-3</v>
      </c>
      <c r="E23" s="128">
        <f>'MFPRSI Supplemental info 2022'!W23</f>
        <v>1609629</v>
      </c>
      <c r="F23" s="128">
        <f t="shared" si="0"/>
        <v>1626763</v>
      </c>
      <c r="G23" s="128">
        <f t="shared" si="1"/>
        <v>17134</v>
      </c>
      <c r="H23" s="128">
        <f t="shared" si="2"/>
        <v>251050</v>
      </c>
      <c r="I23" s="128">
        <f t="shared" si="3"/>
        <v>251050</v>
      </c>
      <c r="J23" s="128">
        <f t="shared" si="4"/>
        <v>0</v>
      </c>
      <c r="K23" s="122">
        <f t="shared" si="5"/>
        <v>3360</v>
      </c>
      <c r="L23" s="122">
        <f t="shared" si="6"/>
        <v>13774</v>
      </c>
      <c r="M23" s="122">
        <f t="shared" si="7"/>
        <v>0</v>
      </c>
      <c r="N23" s="107"/>
      <c r="O23" s="122">
        <v>138591</v>
      </c>
      <c r="P23" s="128">
        <v>9138</v>
      </c>
      <c r="Q23" s="122">
        <v>803569</v>
      </c>
      <c r="R23" s="107"/>
      <c r="S23" s="128">
        <v>0</v>
      </c>
      <c r="T23" s="122">
        <v>0</v>
      </c>
      <c r="U23" s="128">
        <v>-688064</v>
      </c>
      <c r="V23" s="107"/>
      <c r="W23" s="128">
        <v>1813980</v>
      </c>
      <c r="X23" s="111"/>
      <c r="Y23" s="128">
        <v>259248</v>
      </c>
      <c r="AA23" s="40"/>
    </row>
    <row r="24" spans="1:27" ht="20.100000000000001" customHeight="1" x14ac:dyDescent="0.25">
      <c r="A24" s="119">
        <v>118</v>
      </c>
      <c r="B24" s="63" t="s">
        <v>121</v>
      </c>
      <c r="C24" s="123">
        <f>'MFPRSI Supplemental info 2022'!D24</f>
        <v>0.18537464000000001</v>
      </c>
      <c r="D24" s="123">
        <v>0.18992091999999999</v>
      </c>
      <c r="E24" s="128">
        <f>'MFPRSI Supplemental info 2022'!W24</f>
        <v>104100910</v>
      </c>
      <c r="F24" s="128">
        <f t="shared" si="0"/>
        <v>106653981</v>
      </c>
      <c r="G24" s="128">
        <f t="shared" si="1"/>
        <v>2553071</v>
      </c>
      <c r="H24" s="128">
        <f t="shared" si="2"/>
        <v>16459350</v>
      </c>
      <c r="I24" s="128">
        <f t="shared" si="3"/>
        <v>16459350</v>
      </c>
      <c r="J24" s="128">
        <f t="shared" si="4"/>
        <v>0</v>
      </c>
      <c r="K24" s="122">
        <f t="shared" si="5"/>
        <v>500602</v>
      </c>
      <c r="L24" s="122">
        <f t="shared" si="6"/>
        <v>2052469</v>
      </c>
      <c r="M24" s="122">
        <f t="shared" si="7"/>
        <v>0</v>
      </c>
      <c r="N24" s="107"/>
      <c r="O24" s="122">
        <v>9086289</v>
      </c>
      <c r="P24" s="128">
        <v>599129</v>
      </c>
      <c r="Q24" s="122">
        <v>52683662</v>
      </c>
      <c r="R24" s="107"/>
      <c r="S24" s="128">
        <v>0</v>
      </c>
      <c r="T24" s="122">
        <v>0</v>
      </c>
      <c r="U24" s="128">
        <v>-45110906</v>
      </c>
      <c r="V24" s="107"/>
      <c r="W24" s="128">
        <v>118928293</v>
      </c>
      <c r="X24" s="111"/>
      <c r="Y24" s="128">
        <v>16996831</v>
      </c>
      <c r="AA24" s="40"/>
    </row>
    <row r="25" spans="1:27" ht="20.100000000000001" customHeight="1" x14ac:dyDescent="0.25">
      <c r="A25" s="119">
        <v>119</v>
      </c>
      <c r="B25" s="63" t="s">
        <v>122</v>
      </c>
      <c r="C25" s="123">
        <f>'MFPRSI Supplemental info 2022'!D25</f>
        <v>1.9517899999999999E-3</v>
      </c>
      <c r="D25" s="123">
        <v>1.7588E-3</v>
      </c>
      <c r="E25" s="128">
        <f>'MFPRSI Supplemental info 2022'!W25</f>
        <v>1096068</v>
      </c>
      <c r="F25" s="128">
        <f t="shared" si="0"/>
        <v>987690</v>
      </c>
      <c r="G25" s="128">
        <f t="shared" si="1"/>
        <v>-108378</v>
      </c>
      <c r="H25" s="128">
        <f t="shared" si="2"/>
        <v>152425</v>
      </c>
      <c r="I25" s="128">
        <f t="shared" si="3"/>
        <v>152425</v>
      </c>
      <c r="J25" s="128">
        <f t="shared" si="4"/>
        <v>0</v>
      </c>
      <c r="K25" s="122">
        <f t="shared" si="5"/>
        <v>-21251</v>
      </c>
      <c r="L25" s="122">
        <f t="shared" si="6"/>
        <v>0</v>
      </c>
      <c r="M25" s="122">
        <f t="shared" si="7"/>
        <v>-87127</v>
      </c>
      <c r="N25" s="107"/>
      <c r="O25" s="122">
        <v>84145</v>
      </c>
      <c r="P25" s="128">
        <v>5548</v>
      </c>
      <c r="Q25" s="122">
        <v>487887</v>
      </c>
      <c r="R25" s="107"/>
      <c r="S25" s="128">
        <v>0</v>
      </c>
      <c r="T25" s="122">
        <v>0</v>
      </c>
      <c r="U25" s="128">
        <v>-417758</v>
      </c>
      <c r="V25" s="107"/>
      <c r="W25" s="128">
        <v>1101359</v>
      </c>
      <c r="X25" s="111"/>
      <c r="Y25" s="128">
        <v>157403</v>
      </c>
      <c r="AA25" s="40"/>
    </row>
    <row r="26" spans="1:27" ht="20.100000000000001" customHeight="1" x14ac:dyDescent="0.25">
      <c r="A26" s="119">
        <v>120</v>
      </c>
      <c r="B26" s="63" t="s">
        <v>123</v>
      </c>
      <c r="C26" s="123">
        <f>'MFPRSI Supplemental info 2022'!D26</f>
        <v>4.3236839999999999E-2</v>
      </c>
      <c r="D26" s="123">
        <v>4.5767849999999999E-2</v>
      </c>
      <c r="E26" s="128">
        <f>'MFPRSI Supplemental info 2022'!W26</f>
        <v>24280533</v>
      </c>
      <c r="F26" s="128">
        <f t="shared" si="0"/>
        <v>25701873</v>
      </c>
      <c r="G26" s="128">
        <f t="shared" si="1"/>
        <v>1421340</v>
      </c>
      <c r="H26" s="128">
        <f t="shared" si="2"/>
        <v>3966436</v>
      </c>
      <c r="I26" s="128">
        <f t="shared" si="3"/>
        <v>3966436</v>
      </c>
      <c r="J26" s="128">
        <f t="shared" si="4"/>
        <v>0</v>
      </c>
      <c r="K26" s="122">
        <f t="shared" si="5"/>
        <v>278694</v>
      </c>
      <c r="L26" s="122">
        <f t="shared" si="6"/>
        <v>1142646</v>
      </c>
      <c r="M26" s="122">
        <f t="shared" si="7"/>
        <v>0</v>
      </c>
      <c r="N26" s="107"/>
      <c r="O26" s="122">
        <v>2189648</v>
      </c>
      <c r="P26" s="128">
        <v>144380</v>
      </c>
      <c r="Q26" s="122">
        <v>12695906</v>
      </c>
      <c r="R26" s="107"/>
      <c r="S26" s="128">
        <v>0</v>
      </c>
      <c r="T26" s="122">
        <v>0</v>
      </c>
      <c r="U26" s="128">
        <v>-10870995</v>
      </c>
      <c r="V26" s="107"/>
      <c r="W26" s="128">
        <v>28659784</v>
      </c>
      <c r="X26" s="111"/>
      <c r="Y26" s="128">
        <v>4095960</v>
      </c>
      <c r="AA26" s="40"/>
    </row>
    <row r="27" spans="1:27" ht="20.100000000000001" customHeight="1" x14ac:dyDescent="0.25">
      <c r="A27" s="119">
        <v>121</v>
      </c>
      <c r="B27" s="63" t="s">
        <v>124</v>
      </c>
      <c r="C27" s="123">
        <f>'MFPRSI Supplemental info 2022'!D27</f>
        <v>2.1899100000000002E-3</v>
      </c>
      <c r="D27" s="123">
        <v>1.88619E-3</v>
      </c>
      <c r="E27" s="128">
        <f>'MFPRSI Supplemental info 2022'!W27</f>
        <v>1229789</v>
      </c>
      <c r="F27" s="128">
        <f t="shared" si="0"/>
        <v>1059229</v>
      </c>
      <c r="G27" s="128">
        <f t="shared" si="1"/>
        <v>-170560</v>
      </c>
      <c r="H27" s="128">
        <f t="shared" si="2"/>
        <v>163465</v>
      </c>
      <c r="I27" s="128">
        <f t="shared" si="3"/>
        <v>163465</v>
      </c>
      <c r="J27" s="128">
        <f t="shared" si="4"/>
        <v>0</v>
      </c>
      <c r="K27" s="122">
        <f t="shared" si="5"/>
        <v>-33443</v>
      </c>
      <c r="L27" s="122">
        <f t="shared" si="6"/>
        <v>0</v>
      </c>
      <c r="M27" s="122">
        <f t="shared" si="7"/>
        <v>-137117</v>
      </c>
      <c r="N27" s="107"/>
      <c r="O27" s="122">
        <v>90240</v>
      </c>
      <c r="P27" s="128">
        <v>5950</v>
      </c>
      <c r="Q27" s="122">
        <v>523225</v>
      </c>
      <c r="R27" s="107"/>
      <c r="S27" s="128">
        <v>0</v>
      </c>
      <c r="T27" s="122">
        <v>0</v>
      </c>
      <c r="U27" s="128">
        <v>-448017</v>
      </c>
      <c r="V27" s="107"/>
      <c r="W27" s="128">
        <v>1181130</v>
      </c>
      <c r="X27" s="111"/>
      <c r="Y27" s="128">
        <v>168803</v>
      </c>
      <c r="AA27" s="40"/>
    </row>
    <row r="28" spans="1:27" ht="20.100000000000001" customHeight="1" x14ac:dyDescent="0.25">
      <c r="A28" s="119">
        <v>122</v>
      </c>
      <c r="B28" s="63" t="s">
        <v>125</v>
      </c>
      <c r="C28" s="123">
        <f>'MFPRSI Supplemental info 2022'!D28</f>
        <v>1.30021E-3</v>
      </c>
      <c r="D28" s="123">
        <v>1.1703799999999999E-3</v>
      </c>
      <c r="E28" s="128">
        <f>'MFPRSI Supplemental info 2022'!W28</f>
        <v>730160</v>
      </c>
      <c r="F28" s="128">
        <f t="shared" si="0"/>
        <v>657251</v>
      </c>
      <c r="G28" s="128">
        <f t="shared" si="1"/>
        <v>-72909</v>
      </c>
      <c r="H28" s="128">
        <f t="shared" si="2"/>
        <v>101430</v>
      </c>
      <c r="I28" s="128">
        <f t="shared" si="3"/>
        <v>101430</v>
      </c>
      <c r="J28" s="128">
        <f t="shared" si="4"/>
        <v>0</v>
      </c>
      <c r="K28" s="122">
        <f t="shared" si="5"/>
        <v>-14296</v>
      </c>
      <c r="L28" s="122">
        <f t="shared" si="6"/>
        <v>0</v>
      </c>
      <c r="M28" s="122">
        <f t="shared" si="7"/>
        <v>-58613</v>
      </c>
      <c r="N28" s="107"/>
      <c r="O28" s="122">
        <v>55994</v>
      </c>
      <c r="P28" s="128">
        <v>3692</v>
      </c>
      <c r="Q28" s="122">
        <v>324661</v>
      </c>
      <c r="R28" s="107"/>
      <c r="S28" s="128">
        <v>0</v>
      </c>
      <c r="T28" s="122">
        <v>0</v>
      </c>
      <c r="U28" s="128">
        <v>-277994</v>
      </c>
      <c r="V28" s="107"/>
      <c r="W28" s="128">
        <v>732891</v>
      </c>
      <c r="X28" s="111"/>
      <c r="Y28" s="128">
        <v>104742</v>
      </c>
      <c r="AA28" s="40"/>
    </row>
    <row r="29" spans="1:27" ht="20.100000000000001" customHeight="1" x14ac:dyDescent="0.25">
      <c r="A29" s="119">
        <v>123</v>
      </c>
      <c r="B29" s="63" t="s">
        <v>126</v>
      </c>
      <c r="C29" s="123">
        <f>'MFPRSI Supplemental info 2022'!D29</f>
        <v>2.66877E-3</v>
      </c>
      <c r="D29" s="123">
        <v>2.3285699999999999E-3</v>
      </c>
      <c r="E29" s="128">
        <f>'MFPRSI Supplemental info 2022'!W29</f>
        <v>1498702</v>
      </c>
      <c r="F29" s="128">
        <f t="shared" si="0"/>
        <v>1307656</v>
      </c>
      <c r="G29" s="128">
        <f t="shared" si="1"/>
        <v>-191046</v>
      </c>
      <c r="H29" s="128">
        <f t="shared" si="2"/>
        <v>201804</v>
      </c>
      <c r="I29" s="128">
        <f t="shared" si="3"/>
        <v>201804</v>
      </c>
      <c r="J29" s="128">
        <f t="shared" si="4"/>
        <v>0</v>
      </c>
      <c r="K29" s="122">
        <f t="shared" si="5"/>
        <v>-37460</v>
      </c>
      <c r="L29" s="122">
        <f t="shared" si="6"/>
        <v>0</v>
      </c>
      <c r="M29" s="122">
        <f t="shared" si="7"/>
        <v>-153586</v>
      </c>
      <c r="N29" s="107"/>
      <c r="O29" s="122">
        <v>111405</v>
      </c>
      <c r="P29" s="128">
        <v>7346</v>
      </c>
      <c r="Q29" s="122">
        <v>645940</v>
      </c>
      <c r="R29" s="107"/>
      <c r="S29" s="128">
        <v>0</v>
      </c>
      <c r="T29" s="122">
        <v>0</v>
      </c>
      <c r="U29" s="128">
        <v>-553093</v>
      </c>
      <c r="V29" s="107"/>
      <c r="W29" s="128">
        <v>1458148</v>
      </c>
      <c r="X29" s="111"/>
      <c r="Y29" s="128">
        <v>208394</v>
      </c>
      <c r="AA29" s="40"/>
    </row>
    <row r="30" spans="1:27" ht="20.100000000000001" customHeight="1" x14ac:dyDescent="0.25">
      <c r="A30" s="119">
        <v>124</v>
      </c>
      <c r="B30" s="63" t="s">
        <v>127</v>
      </c>
      <c r="C30" s="123">
        <f>'MFPRSI Supplemental info 2022'!D30</f>
        <v>1.5825309999999999E-2</v>
      </c>
      <c r="D30" s="123">
        <v>1.599998E-2</v>
      </c>
      <c r="E30" s="128">
        <f>'MFPRSI Supplemental info 2022'!W30</f>
        <v>8887027</v>
      </c>
      <c r="F30" s="128">
        <f t="shared" si="0"/>
        <v>8985116</v>
      </c>
      <c r="G30" s="128">
        <f t="shared" si="1"/>
        <v>98089</v>
      </c>
      <c r="H30" s="128">
        <f t="shared" si="2"/>
        <v>1386626</v>
      </c>
      <c r="I30" s="128">
        <f t="shared" si="3"/>
        <v>1386626</v>
      </c>
      <c r="J30" s="128">
        <f t="shared" si="4"/>
        <v>0</v>
      </c>
      <c r="K30" s="122">
        <f t="shared" si="5"/>
        <v>19233</v>
      </c>
      <c r="L30" s="122">
        <f t="shared" si="6"/>
        <v>78856</v>
      </c>
      <c r="M30" s="122">
        <f t="shared" si="7"/>
        <v>0</v>
      </c>
      <c r="N30" s="107"/>
      <c r="O30" s="122">
        <v>765479</v>
      </c>
      <c r="P30" s="128">
        <v>50474</v>
      </c>
      <c r="Q30" s="122">
        <v>4438361</v>
      </c>
      <c r="R30" s="107"/>
      <c r="S30" s="128">
        <v>0</v>
      </c>
      <c r="T30" s="122">
        <v>0</v>
      </c>
      <c r="U30" s="128">
        <v>-3800391</v>
      </c>
      <c r="V30" s="107"/>
      <c r="W30" s="128">
        <v>10019172</v>
      </c>
      <c r="X30" s="111"/>
      <c r="Y30" s="128">
        <v>1431906</v>
      </c>
      <c r="AA30" s="40"/>
    </row>
    <row r="31" spans="1:27" ht="20.100000000000001" customHeight="1" x14ac:dyDescent="0.25">
      <c r="A31" s="119">
        <v>125</v>
      </c>
      <c r="B31" s="63" t="s">
        <v>128</v>
      </c>
      <c r="C31" s="123">
        <f>'MFPRSI Supplemental info 2022'!D31</f>
        <v>6.4626800000000002E-3</v>
      </c>
      <c r="D31" s="123">
        <v>6.8241899999999999E-3</v>
      </c>
      <c r="E31" s="128">
        <f>'MFPRSI Supplemental info 2022'!W31</f>
        <v>3629250</v>
      </c>
      <c r="F31" s="128">
        <f t="shared" si="0"/>
        <v>3832264</v>
      </c>
      <c r="G31" s="128">
        <f t="shared" si="1"/>
        <v>203014</v>
      </c>
      <c r="H31" s="128">
        <f t="shared" si="2"/>
        <v>591413</v>
      </c>
      <c r="I31" s="128">
        <f t="shared" si="3"/>
        <v>591413</v>
      </c>
      <c r="J31" s="128">
        <f t="shared" si="4"/>
        <v>0</v>
      </c>
      <c r="K31" s="122">
        <f t="shared" si="5"/>
        <v>39807</v>
      </c>
      <c r="L31" s="122">
        <f t="shared" si="6"/>
        <v>163207</v>
      </c>
      <c r="M31" s="122">
        <f t="shared" si="7"/>
        <v>0</v>
      </c>
      <c r="N31" s="107"/>
      <c r="O31" s="122">
        <v>326486</v>
      </c>
      <c r="P31" s="128">
        <v>21528</v>
      </c>
      <c r="Q31" s="122">
        <v>1893016</v>
      </c>
      <c r="R31" s="107"/>
      <c r="S31" s="128">
        <v>0</v>
      </c>
      <c r="T31" s="122">
        <v>0</v>
      </c>
      <c r="U31" s="128">
        <v>-1620914</v>
      </c>
      <c r="V31" s="107"/>
      <c r="W31" s="128">
        <v>4273301</v>
      </c>
      <c r="X31" s="111"/>
      <c r="Y31" s="128">
        <v>610726</v>
      </c>
      <c r="AA31" s="40"/>
    </row>
    <row r="32" spans="1:27" ht="20.100000000000001" customHeight="1" x14ac:dyDescent="0.25">
      <c r="A32" s="119">
        <v>126</v>
      </c>
      <c r="B32" s="63" t="s">
        <v>129</v>
      </c>
      <c r="C32" s="123">
        <f>'MFPRSI Supplemental info 2022'!D32</f>
        <v>3.8945899999999999E-3</v>
      </c>
      <c r="D32" s="123">
        <v>3.70097E-3</v>
      </c>
      <c r="E32" s="128">
        <f>'MFPRSI Supplemental info 2022'!W32</f>
        <v>2187087</v>
      </c>
      <c r="F32" s="128">
        <f t="shared" si="0"/>
        <v>2078355</v>
      </c>
      <c r="G32" s="128">
        <f t="shared" si="1"/>
        <v>-108732</v>
      </c>
      <c r="H32" s="128">
        <f t="shared" si="2"/>
        <v>320742</v>
      </c>
      <c r="I32" s="128">
        <f t="shared" si="3"/>
        <v>320742</v>
      </c>
      <c r="J32" s="128">
        <f t="shared" si="4"/>
        <v>0</v>
      </c>
      <c r="K32" s="122">
        <f t="shared" si="5"/>
        <v>-21320</v>
      </c>
      <c r="L32" s="122">
        <f t="shared" si="6"/>
        <v>0</v>
      </c>
      <c r="M32" s="122">
        <f t="shared" si="7"/>
        <v>-87412</v>
      </c>
      <c r="N32" s="107"/>
      <c r="O32" s="122">
        <v>177064</v>
      </c>
      <c r="P32" s="128">
        <v>11675</v>
      </c>
      <c r="Q32" s="122">
        <v>1026641</v>
      </c>
      <c r="R32" s="107"/>
      <c r="S32" s="128">
        <v>0</v>
      </c>
      <c r="T32" s="122">
        <v>0</v>
      </c>
      <c r="U32" s="128">
        <v>-879072</v>
      </c>
      <c r="V32" s="107"/>
      <c r="W32" s="128">
        <v>2317544</v>
      </c>
      <c r="X32" s="111"/>
      <c r="Y32" s="128">
        <v>331216</v>
      </c>
      <c r="AA32" s="40"/>
    </row>
    <row r="33" spans="1:27" ht="20.100000000000001" customHeight="1" x14ac:dyDescent="0.25">
      <c r="A33" s="119">
        <v>127</v>
      </c>
      <c r="B33" s="63" t="s">
        <v>130</v>
      </c>
      <c r="C33" s="123">
        <f>'MFPRSI Supplemental info 2022'!D33</f>
        <v>5.1640399999999999E-3</v>
      </c>
      <c r="D33" s="123">
        <v>5.2696399999999999E-3</v>
      </c>
      <c r="E33" s="128">
        <f>'MFPRSI Supplemental info 2022'!W33</f>
        <v>2899972</v>
      </c>
      <c r="F33" s="128">
        <f t="shared" si="0"/>
        <v>2959274</v>
      </c>
      <c r="G33" s="128">
        <f t="shared" si="1"/>
        <v>59302</v>
      </c>
      <c r="H33" s="128">
        <f t="shared" si="2"/>
        <v>456689</v>
      </c>
      <c r="I33" s="128">
        <f t="shared" si="3"/>
        <v>456689</v>
      </c>
      <c r="J33" s="128">
        <f t="shared" si="4"/>
        <v>0</v>
      </c>
      <c r="K33" s="122">
        <f t="shared" si="5"/>
        <v>11628</v>
      </c>
      <c r="L33" s="122">
        <f t="shared" si="6"/>
        <v>47674</v>
      </c>
      <c r="M33" s="122">
        <f t="shared" si="7"/>
        <v>0</v>
      </c>
      <c r="N33" s="107"/>
      <c r="O33" s="122">
        <v>252113</v>
      </c>
      <c r="P33" s="128">
        <v>16624</v>
      </c>
      <c r="Q33" s="122">
        <v>1461787</v>
      </c>
      <c r="R33" s="107"/>
      <c r="S33" s="128">
        <v>0</v>
      </c>
      <c r="T33" s="122">
        <v>0</v>
      </c>
      <c r="U33" s="128">
        <v>-1251670</v>
      </c>
      <c r="V33" s="107"/>
      <c r="W33" s="128">
        <v>3299844</v>
      </c>
      <c r="X33" s="111"/>
      <c r="Y33" s="128">
        <v>471603</v>
      </c>
      <c r="AA33" s="40"/>
    </row>
    <row r="34" spans="1:27" ht="20.100000000000001" customHeight="1" x14ac:dyDescent="0.25">
      <c r="A34" s="119">
        <v>128</v>
      </c>
      <c r="B34" s="63" t="s">
        <v>131</v>
      </c>
      <c r="C34" s="123">
        <f>'MFPRSI Supplemental info 2022'!D34</f>
        <v>3.3790840000000003E-2</v>
      </c>
      <c r="D34" s="123">
        <v>3.523511E-2</v>
      </c>
      <c r="E34" s="128">
        <f>'MFPRSI Supplemental info 2022'!W34</f>
        <v>18975938</v>
      </c>
      <c r="F34" s="128">
        <f t="shared" si="0"/>
        <v>19786997</v>
      </c>
      <c r="G34" s="128">
        <f t="shared" si="1"/>
        <v>811059</v>
      </c>
      <c r="H34" s="128">
        <f t="shared" si="2"/>
        <v>3053624</v>
      </c>
      <c r="I34" s="128">
        <f t="shared" si="3"/>
        <v>3053624</v>
      </c>
      <c r="J34" s="128">
        <f t="shared" si="4"/>
        <v>0</v>
      </c>
      <c r="K34" s="122">
        <f t="shared" si="5"/>
        <v>159031</v>
      </c>
      <c r="L34" s="122">
        <f t="shared" si="6"/>
        <v>652028</v>
      </c>
      <c r="M34" s="122">
        <f t="shared" si="7"/>
        <v>0</v>
      </c>
      <c r="N34" s="107"/>
      <c r="O34" s="122">
        <v>1685736</v>
      </c>
      <c r="P34" s="128">
        <v>111153</v>
      </c>
      <c r="Q34" s="122">
        <v>9774146</v>
      </c>
      <c r="R34" s="107"/>
      <c r="S34" s="128">
        <v>0</v>
      </c>
      <c r="T34" s="122">
        <v>0</v>
      </c>
      <c r="U34" s="128">
        <v>-8369209</v>
      </c>
      <c r="V34" s="107"/>
      <c r="W34" s="128">
        <v>22064192</v>
      </c>
      <c r="X34" s="111"/>
      <c r="Y34" s="128">
        <v>3153340</v>
      </c>
      <c r="AA34" s="40"/>
    </row>
    <row r="35" spans="1:27" ht="20.100000000000001" customHeight="1" x14ac:dyDescent="0.25">
      <c r="A35" s="119">
        <v>129</v>
      </c>
      <c r="B35" s="63" t="s">
        <v>132</v>
      </c>
      <c r="C35" s="123">
        <f>'MFPRSI Supplemental info 2022'!D35</f>
        <v>7.7596899999999996E-3</v>
      </c>
      <c r="D35" s="123">
        <v>7.2483000000000001E-3</v>
      </c>
      <c r="E35" s="128">
        <f>'MFPRSI Supplemental info 2022'!W35</f>
        <v>4357613</v>
      </c>
      <c r="F35" s="128">
        <f t="shared" si="0"/>
        <v>4070431</v>
      </c>
      <c r="G35" s="128">
        <f t="shared" si="1"/>
        <v>-287182</v>
      </c>
      <c r="H35" s="128">
        <f t="shared" si="2"/>
        <v>628168</v>
      </c>
      <c r="I35" s="128">
        <f t="shared" si="3"/>
        <v>628168</v>
      </c>
      <c r="J35" s="128">
        <f t="shared" si="4"/>
        <v>0</v>
      </c>
      <c r="K35" s="122">
        <f t="shared" si="5"/>
        <v>-56310</v>
      </c>
      <c r="L35" s="122">
        <f t="shared" si="6"/>
        <v>0</v>
      </c>
      <c r="M35" s="122">
        <f t="shared" si="7"/>
        <v>-230872</v>
      </c>
      <c r="N35" s="107"/>
      <c r="O35" s="122">
        <v>346777</v>
      </c>
      <c r="P35" s="128">
        <v>22866</v>
      </c>
      <c r="Q35" s="122">
        <v>2010663</v>
      </c>
      <c r="R35" s="107"/>
      <c r="S35" s="128">
        <v>0</v>
      </c>
      <c r="T35" s="122">
        <v>0</v>
      </c>
      <c r="U35" s="128">
        <v>-1721650</v>
      </c>
      <c r="V35" s="107"/>
      <c r="W35" s="128">
        <v>4538879</v>
      </c>
      <c r="X35" s="111"/>
      <c r="Y35" s="128">
        <v>648681</v>
      </c>
      <c r="AA35" s="40"/>
    </row>
    <row r="36" spans="1:27" ht="20.100000000000001" customHeight="1" x14ac:dyDescent="0.25">
      <c r="A36" s="119">
        <v>130</v>
      </c>
      <c r="B36" s="63" t="s">
        <v>133</v>
      </c>
      <c r="C36" s="123">
        <f>'MFPRSI Supplemental info 2022'!D36</f>
        <v>2.54922E-3</v>
      </c>
      <c r="D36" s="123">
        <v>2.6084699999999999E-3</v>
      </c>
      <c r="E36" s="128">
        <f>'MFPRSI Supplemental info 2022'!W36</f>
        <v>1431567</v>
      </c>
      <c r="F36" s="128">
        <f t="shared" si="0"/>
        <v>1464840</v>
      </c>
      <c r="G36" s="128">
        <f t="shared" si="1"/>
        <v>33273</v>
      </c>
      <c r="H36" s="128">
        <f t="shared" si="2"/>
        <v>226061</v>
      </c>
      <c r="I36" s="128">
        <f t="shared" si="3"/>
        <v>226061</v>
      </c>
      <c r="J36" s="128">
        <f t="shared" si="4"/>
        <v>0</v>
      </c>
      <c r="K36" s="122">
        <f t="shared" si="5"/>
        <v>6524</v>
      </c>
      <c r="L36" s="122">
        <f t="shared" si="6"/>
        <v>26749</v>
      </c>
      <c r="M36" s="122">
        <f t="shared" si="7"/>
        <v>0</v>
      </c>
      <c r="N36" s="107"/>
      <c r="O36" s="122">
        <v>124796</v>
      </c>
      <c r="P36" s="128">
        <v>8229</v>
      </c>
      <c r="Q36" s="122">
        <v>723584</v>
      </c>
      <c r="R36" s="107"/>
      <c r="S36" s="128">
        <v>0</v>
      </c>
      <c r="T36" s="122">
        <v>0</v>
      </c>
      <c r="U36" s="128">
        <v>-619576</v>
      </c>
      <c r="V36" s="107"/>
      <c r="W36" s="128">
        <v>1633421</v>
      </c>
      <c r="X36" s="111"/>
      <c r="Y36" s="128">
        <v>233443</v>
      </c>
      <c r="AA36" s="40"/>
    </row>
    <row r="37" spans="1:27" ht="20.100000000000001" customHeight="1" x14ac:dyDescent="0.25">
      <c r="A37" s="119">
        <v>131</v>
      </c>
      <c r="B37" s="67" t="s">
        <v>134</v>
      </c>
      <c r="C37" s="123">
        <f>'MFPRSI Supplemental info 2022'!D37</f>
        <v>3.3665100000000001E-3</v>
      </c>
      <c r="D37" s="123">
        <v>3.3314E-3</v>
      </c>
      <c r="E37" s="128">
        <f>'MFPRSI Supplemental info 2022'!W37</f>
        <v>1890533</v>
      </c>
      <c r="F37" s="128">
        <f t="shared" si="0"/>
        <v>1870816</v>
      </c>
      <c r="G37" s="128">
        <f t="shared" si="1"/>
        <v>-19717</v>
      </c>
      <c r="H37" s="128">
        <f t="shared" si="2"/>
        <v>288713</v>
      </c>
      <c r="I37" s="128">
        <f t="shared" si="3"/>
        <v>288713</v>
      </c>
      <c r="J37" s="128">
        <f t="shared" si="4"/>
        <v>0</v>
      </c>
      <c r="K37" s="122">
        <f t="shared" si="5"/>
        <v>-3866</v>
      </c>
      <c r="L37" s="122">
        <f t="shared" si="6"/>
        <v>0</v>
      </c>
      <c r="M37" s="122">
        <f t="shared" si="7"/>
        <v>-15851</v>
      </c>
      <c r="N37" s="107"/>
      <c r="O37" s="122">
        <v>159382</v>
      </c>
      <c r="P37" s="128">
        <v>10509</v>
      </c>
      <c r="Q37" s="122">
        <v>924123</v>
      </c>
      <c r="R37" s="107"/>
      <c r="S37" s="128">
        <v>0</v>
      </c>
      <c r="T37" s="122">
        <v>0</v>
      </c>
      <c r="U37" s="128">
        <v>-791290</v>
      </c>
      <c r="V37" s="107"/>
      <c r="W37" s="128">
        <v>2086120</v>
      </c>
      <c r="X37" s="111"/>
      <c r="Y37" s="128">
        <v>298141</v>
      </c>
      <c r="AA37" s="40"/>
    </row>
    <row r="38" spans="1:27" ht="20.100000000000001" customHeight="1" x14ac:dyDescent="0.25">
      <c r="A38" s="119">
        <v>132</v>
      </c>
      <c r="B38" s="63" t="s">
        <v>135</v>
      </c>
      <c r="C38" s="123">
        <f>'MFPRSI Supplemental info 2022'!D38</f>
        <v>1.96233E-3</v>
      </c>
      <c r="D38" s="123">
        <v>1.9818599999999998E-3</v>
      </c>
      <c r="E38" s="128">
        <f>'MFPRSI Supplemental info 2022'!W38</f>
        <v>1101987</v>
      </c>
      <c r="F38" s="128">
        <f t="shared" si="0"/>
        <v>1112954</v>
      </c>
      <c r="G38" s="128">
        <f t="shared" si="1"/>
        <v>10967</v>
      </c>
      <c r="H38" s="128">
        <f t="shared" si="2"/>
        <v>171756</v>
      </c>
      <c r="I38" s="128">
        <f t="shared" si="3"/>
        <v>171756</v>
      </c>
      <c r="J38" s="128">
        <f t="shared" si="4"/>
        <v>0</v>
      </c>
      <c r="K38" s="122">
        <f t="shared" si="5"/>
        <v>2150</v>
      </c>
      <c r="L38" s="122">
        <f t="shared" si="6"/>
        <v>8817</v>
      </c>
      <c r="M38" s="122">
        <f t="shared" si="7"/>
        <v>0</v>
      </c>
      <c r="N38" s="107"/>
      <c r="O38" s="122">
        <v>94817</v>
      </c>
      <c r="P38" s="128">
        <v>6252</v>
      </c>
      <c r="Q38" s="122">
        <v>549764</v>
      </c>
      <c r="R38" s="107"/>
      <c r="S38" s="128">
        <v>0</v>
      </c>
      <c r="T38" s="122">
        <v>0</v>
      </c>
      <c r="U38" s="128">
        <v>-470741</v>
      </c>
      <c r="V38" s="107"/>
      <c r="W38" s="128">
        <v>1241039</v>
      </c>
      <c r="X38" s="111"/>
      <c r="Y38" s="128">
        <v>177365</v>
      </c>
      <c r="AA38" s="40"/>
    </row>
    <row r="39" spans="1:27" ht="20.100000000000001" customHeight="1" x14ac:dyDescent="0.25">
      <c r="A39" s="119">
        <v>133</v>
      </c>
      <c r="B39" s="67" t="s">
        <v>136</v>
      </c>
      <c r="C39" s="123">
        <f>'MFPRSI Supplemental info 2022'!D39</f>
        <v>2.1043860000000001E-2</v>
      </c>
      <c r="D39" s="123">
        <v>1.964956E-2</v>
      </c>
      <c r="E39" s="128">
        <f>'MFPRSI Supplemental info 2022'!W39</f>
        <v>11817610</v>
      </c>
      <c r="F39" s="128">
        <f t="shared" si="0"/>
        <v>11034613</v>
      </c>
      <c r="G39" s="128">
        <f t="shared" si="1"/>
        <v>-782997</v>
      </c>
      <c r="H39" s="128">
        <f t="shared" si="2"/>
        <v>1702914</v>
      </c>
      <c r="I39" s="128">
        <f t="shared" si="3"/>
        <v>1702914</v>
      </c>
      <c r="J39" s="128">
        <f t="shared" si="4"/>
        <v>0</v>
      </c>
      <c r="K39" s="122">
        <f t="shared" si="5"/>
        <v>-153529</v>
      </c>
      <c r="L39" s="122">
        <f t="shared" si="6"/>
        <v>0</v>
      </c>
      <c r="M39" s="122">
        <f t="shared" si="7"/>
        <v>-629468</v>
      </c>
      <c r="N39" s="107"/>
      <c r="O39" s="122">
        <v>940084</v>
      </c>
      <c r="P39" s="128">
        <v>61987</v>
      </c>
      <c r="Q39" s="122">
        <v>5450747</v>
      </c>
      <c r="R39" s="107"/>
      <c r="S39" s="128">
        <v>0</v>
      </c>
      <c r="T39" s="122">
        <v>0</v>
      </c>
      <c r="U39" s="128">
        <v>-4667256</v>
      </c>
      <c r="V39" s="107"/>
      <c r="W39" s="128">
        <v>12304536</v>
      </c>
      <c r="X39" s="111"/>
      <c r="Y39" s="128">
        <v>1758523</v>
      </c>
      <c r="AA39" s="40"/>
    </row>
    <row r="40" spans="1:27" ht="20.100000000000001" customHeight="1" x14ac:dyDescent="0.25">
      <c r="A40" s="119">
        <v>134</v>
      </c>
      <c r="B40" s="63" t="s">
        <v>137</v>
      </c>
      <c r="C40" s="123">
        <f>'MFPRSI Supplemental info 2022'!D40</f>
        <v>1.399066E-2</v>
      </c>
      <c r="D40" s="123">
        <v>1.360886E-2</v>
      </c>
      <c r="E40" s="128">
        <f>'MFPRSI Supplemental info 2022'!W40</f>
        <v>7856742</v>
      </c>
      <c r="F40" s="128">
        <f t="shared" si="0"/>
        <v>7642334</v>
      </c>
      <c r="G40" s="128">
        <f t="shared" si="1"/>
        <v>-214408</v>
      </c>
      <c r="H40" s="128">
        <f t="shared" si="2"/>
        <v>1179401</v>
      </c>
      <c r="I40" s="128">
        <f t="shared" si="3"/>
        <v>1179401</v>
      </c>
      <c r="J40" s="128">
        <f t="shared" si="4"/>
        <v>0</v>
      </c>
      <c r="K40" s="122">
        <f t="shared" si="5"/>
        <v>-42041</v>
      </c>
      <c r="L40" s="122">
        <f t="shared" si="6"/>
        <v>0</v>
      </c>
      <c r="M40" s="122">
        <f t="shared" si="7"/>
        <v>-172367</v>
      </c>
      <c r="N40" s="107"/>
      <c r="O40" s="122">
        <v>651082</v>
      </c>
      <c r="P40" s="128">
        <v>42931</v>
      </c>
      <c r="Q40" s="122">
        <v>3775069</v>
      </c>
      <c r="R40" s="107"/>
      <c r="S40" s="128">
        <v>0</v>
      </c>
      <c r="T40" s="122">
        <v>0</v>
      </c>
      <c r="U40" s="128">
        <v>-3232440</v>
      </c>
      <c r="V40" s="107"/>
      <c r="W40" s="128">
        <v>8521855</v>
      </c>
      <c r="X40" s="111"/>
      <c r="Y40" s="128">
        <v>1217915</v>
      </c>
      <c r="AA40" s="40"/>
    </row>
    <row r="41" spans="1:27" ht="20.100000000000001" customHeight="1" x14ac:dyDescent="0.25">
      <c r="A41" s="119">
        <v>135</v>
      </c>
      <c r="B41" s="67" t="s">
        <v>138</v>
      </c>
      <c r="C41" s="123">
        <f>'MFPRSI Supplemental info 2022'!D41</f>
        <v>1.8622719999999999E-2</v>
      </c>
      <c r="D41" s="123">
        <v>1.8739479999999999E-2</v>
      </c>
      <c r="E41" s="128">
        <f>'MFPRSI Supplemental info 2022'!W41</f>
        <v>10457970</v>
      </c>
      <c r="F41" s="128">
        <f t="shared" si="0"/>
        <v>10523539</v>
      </c>
      <c r="G41" s="128">
        <f t="shared" si="1"/>
        <v>65569</v>
      </c>
      <c r="H41" s="128">
        <f t="shared" si="2"/>
        <v>1624043</v>
      </c>
      <c r="I41" s="128">
        <f t="shared" si="3"/>
        <v>1624043</v>
      </c>
      <c r="J41" s="128">
        <f t="shared" si="4"/>
        <v>0</v>
      </c>
      <c r="K41" s="122">
        <f t="shared" si="5"/>
        <v>12857</v>
      </c>
      <c r="L41" s="122">
        <f t="shared" si="6"/>
        <v>52712</v>
      </c>
      <c r="M41" s="122">
        <f t="shared" si="7"/>
        <v>0</v>
      </c>
      <c r="N41" s="107"/>
      <c r="O41" s="122">
        <v>896543</v>
      </c>
      <c r="P41" s="128">
        <v>59116</v>
      </c>
      <c r="Q41" s="122">
        <v>5198292</v>
      </c>
      <c r="R41" s="107"/>
      <c r="S41" s="128">
        <v>0</v>
      </c>
      <c r="T41" s="122">
        <v>0</v>
      </c>
      <c r="U41" s="128">
        <v>-4451090</v>
      </c>
      <c r="V41" s="107"/>
      <c r="W41" s="128">
        <v>11734645</v>
      </c>
      <c r="X41" s="111"/>
      <c r="Y41" s="128">
        <v>1677076</v>
      </c>
      <c r="AA41" s="40"/>
    </row>
    <row r="42" spans="1:27" ht="20.100000000000001" customHeight="1" x14ac:dyDescent="0.25">
      <c r="A42" s="119">
        <v>136</v>
      </c>
      <c r="B42" s="67" t="s">
        <v>139</v>
      </c>
      <c r="C42" s="123">
        <f>'MFPRSI Supplemental info 2022'!D42</f>
        <v>1.8019009999999999E-2</v>
      </c>
      <c r="D42" s="123">
        <v>1.7225279999999999E-2</v>
      </c>
      <c r="E42" s="128">
        <f>'MFPRSI Supplemental info 2022'!W42</f>
        <v>10118944</v>
      </c>
      <c r="F42" s="128">
        <f t="shared" si="0"/>
        <v>9673209</v>
      </c>
      <c r="G42" s="128">
        <f t="shared" si="1"/>
        <v>-445735</v>
      </c>
      <c r="H42" s="128">
        <f t="shared" si="2"/>
        <v>1492816</v>
      </c>
      <c r="I42" s="128">
        <f t="shared" si="3"/>
        <v>1492816</v>
      </c>
      <c r="J42" s="128">
        <f t="shared" si="4"/>
        <v>0</v>
      </c>
      <c r="K42" s="122">
        <f t="shared" si="5"/>
        <v>-87399</v>
      </c>
      <c r="L42" s="122">
        <f t="shared" si="6"/>
        <v>0</v>
      </c>
      <c r="M42" s="122">
        <f t="shared" si="7"/>
        <v>-358336</v>
      </c>
      <c r="N42" s="107"/>
      <c r="O42" s="122">
        <v>824100</v>
      </c>
      <c r="P42" s="128">
        <v>54339</v>
      </c>
      <c r="Q42" s="122">
        <v>4778257</v>
      </c>
      <c r="R42" s="107"/>
      <c r="S42" s="128">
        <v>0</v>
      </c>
      <c r="T42" s="122">
        <v>0</v>
      </c>
      <c r="U42" s="128">
        <v>-4091430</v>
      </c>
      <c r="V42" s="107"/>
      <c r="W42" s="128">
        <v>10786454</v>
      </c>
      <c r="X42" s="111"/>
      <c r="Y42" s="128">
        <v>1541564</v>
      </c>
      <c r="AA42" s="40"/>
    </row>
    <row r="43" spans="1:27" ht="20.100000000000001" customHeight="1" x14ac:dyDescent="0.25">
      <c r="A43" s="119">
        <v>137</v>
      </c>
      <c r="B43" s="67" t="s">
        <v>140</v>
      </c>
      <c r="C43" s="123">
        <f>'MFPRSI Supplemental info 2022'!D43</f>
        <v>1.0814610000000001E-2</v>
      </c>
      <c r="D43" s="123">
        <v>1.008297E-2</v>
      </c>
      <c r="E43" s="128">
        <f>'MFPRSI Supplemental info 2022'!W43</f>
        <v>6073166</v>
      </c>
      <c r="F43" s="128">
        <f t="shared" si="0"/>
        <v>5662298</v>
      </c>
      <c r="G43" s="128">
        <f t="shared" si="1"/>
        <v>-410868</v>
      </c>
      <c r="H43" s="128">
        <f t="shared" si="2"/>
        <v>873833</v>
      </c>
      <c r="I43" s="128">
        <f t="shared" si="3"/>
        <v>873833</v>
      </c>
      <c r="J43" s="128">
        <f t="shared" si="4"/>
        <v>0</v>
      </c>
      <c r="K43" s="122">
        <f t="shared" si="5"/>
        <v>-80562</v>
      </c>
      <c r="L43" s="122">
        <f t="shared" si="6"/>
        <v>0</v>
      </c>
      <c r="M43" s="122">
        <f t="shared" si="7"/>
        <v>-330306</v>
      </c>
      <c r="N43" s="107"/>
      <c r="O43" s="122">
        <v>482394</v>
      </c>
      <c r="P43" s="128">
        <v>31808</v>
      </c>
      <c r="Q43" s="122">
        <v>2796995</v>
      </c>
      <c r="R43" s="107"/>
      <c r="S43" s="128">
        <v>0</v>
      </c>
      <c r="T43" s="122">
        <v>0</v>
      </c>
      <c r="U43" s="128">
        <v>-2394955</v>
      </c>
      <c r="V43" s="107"/>
      <c r="W43" s="128">
        <v>6313946</v>
      </c>
      <c r="X43" s="111"/>
      <c r="Y43" s="128">
        <v>902368</v>
      </c>
      <c r="AA43" s="40"/>
    </row>
    <row r="44" spans="1:27" ht="20.100000000000001" customHeight="1" x14ac:dyDescent="0.25">
      <c r="A44" s="119">
        <v>138</v>
      </c>
      <c r="B44" s="67" t="s">
        <v>141</v>
      </c>
      <c r="C44" s="123">
        <f>'MFPRSI Supplemental info 2022'!D44</f>
        <v>2.0178499999999999E-3</v>
      </c>
      <c r="D44" s="123">
        <v>2.1753599999999999E-3</v>
      </c>
      <c r="E44" s="128">
        <f>'MFPRSI Supplemental info 2022'!W44</f>
        <v>1133165</v>
      </c>
      <c r="F44" s="128">
        <f t="shared" si="0"/>
        <v>1221618</v>
      </c>
      <c r="G44" s="128">
        <f t="shared" si="1"/>
        <v>88453</v>
      </c>
      <c r="H44" s="128">
        <f t="shared" si="2"/>
        <v>188526</v>
      </c>
      <c r="I44" s="128">
        <f t="shared" si="3"/>
        <v>188526</v>
      </c>
      <c r="J44" s="128">
        <f t="shared" si="4"/>
        <v>0</v>
      </c>
      <c r="K44" s="122">
        <f t="shared" si="5"/>
        <v>17344</v>
      </c>
      <c r="L44" s="122">
        <f t="shared" si="6"/>
        <v>71109</v>
      </c>
      <c r="M44" s="122">
        <f t="shared" si="7"/>
        <v>0</v>
      </c>
      <c r="N44" s="107"/>
      <c r="O44" s="122">
        <v>104075</v>
      </c>
      <c r="P44" s="128">
        <v>6862</v>
      </c>
      <c r="Q44" s="122">
        <v>603440</v>
      </c>
      <c r="R44" s="107"/>
      <c r="S44" s="128">
        <v>0</v>
      </c>
      <c r="T44" s="122">
        <v>0</v>
      </c>
      <c r="U44" s="128">
        <v>-516702</v>
      </c>
      <c r="V44" s="107"/>
      <c r="W44" s="128">
        <v>1362208</v>
      </c>
      <c r="X44" s="111"/>
      <c r="Y44" s="128">
        <v>194682</v>
      </c>
      <c r="AA44" s="40"/>
    </row>
    <row r="45" spans="1:27" ht="20.100000000000001" customHeight="1" x14ac:dyDescent="0.25">
      <c r="A45" s="119">
        <v>139</v>
      </c>
      <c r="B45" s="63" t="s">
        <v>142</v>
      </c>
      <c r="C45" s="123">
        <f>'MFPRSI Supplemental info 2022'!D45</f>
        <v>4.0301699999999996E-3</v>
      </c>
      <c r="D45" s="123">
        <v>4.0799599999999997E-3</v>
      </c>
      <c r="E45" s="128">
        <f>'MFPRSI Supplemental info 2022'!W45</f>
        <v>2263224</v>
      </c>
      <c r="F45" s="128">
        <f t="shared" si="0"/>
        <v>2291185</v>
      </c>
      <c r="G45" s="128">
        <f t="shared" si="1"/>
        <v>27961</v>
      </c>
      <c r="H45" s="128">
        <f t="shared" si="2"/>
        <v>353587</v>
      </c>
      <c r="I45" s="128">
        <f t="shared" si="3"/>
        <v>353587</v>
      </c>
      <c r="J45" s="128">
        <f t="shared" si="4"/>
        <v>0</v>
      </c>
      <c r="K45" s="122">
        <f t="shared" si="5"/>
        <v>5483</v>
      </c>
      <c r="L45" s="122">
        <f t="shared" si="6"/>
        <v>22478</v>
      </c>
      <c r="M45" s="122">
        <f t="shared" si="7"/>
        <v>0</v>
      </c>
      <c r="N45" s="107"/>
      <c r="O45" s="122">
        <v>195195</v>
      </c>
      <c r="P45" s="128">
        <v>12871</v>
      </c>
      <c r="Q45" s="122">
        <v>1131772</v>
      </c>
      <c r="R45" s="107"/>
      <c r="S45" s="128">
        <v>0</v>
      </c>
      <c r="T45" s="122">
        <v>0</v>
      </c>
      <c r="U45" s="128">
        <v>-969091</v>
      </c>
      <c r="V45" s="107"/>
      <c r="W45" s="128">
        <v>2554867</v>
      </c>
      <c r="X45" s="111"/>
      <c r="Y45" s="128">
        <v>365133</v>
      </c>
      <c r="AA45" s="40"/>
    </row>
    <row r="46" spans="1:27" ht="20.100000000000001" customHeight="1" x14ac:dyDescent="0.25">
      <c r="A46" s="119">
        <v>140</v>
      </c>
      <c r="B46" s="67" t="s">
        <v>143</v>
      </c>
      <c r="C46" s="123">
        <f>'MFPRSI Supplemental info 2022'!D46</f>
        <v>1.3922250000000001E-2</v>
      </c>
      <c r="D46" s="123">
        <v>1.366113E-2</v>
      </c>
      <c r="E46" s="128">
        <f>'MFPRSI Supplemental info 2022'!W46</f>
        <v>7818325</v>
      </c>
      <c r="F46" s="128">
        <f t="shared" si="0"/>
        <v>7671687</v>
      </c>
      <c r="G46" s="128">
        <f t="shared" si="1"/>
        <v>-146638</v>
      </c>
      <c r="H46" s="128">
        <f t="shared" si="2"/>
        <v>1183931</v>
      </c>
      <c r="I46" s="128">
        <f t="shared" si="3"/>
        <v>1183931</v>
      </c>
      <c r="J46" s="128">
        <f t="shared" si="4"/>
        <v>0</v>
      </c>
      <c r="K46" s="122">
        <f t="shared" si="5"/>
        <v>-28753</v>
      </c>
      <c r="L46" s="122">
        <f t="shared" si="6"/>
        <v>0</v>
      </c>
      <c r="M46" s="122">
        <f t="shared" si="7"/>
        <v>-117885</v>
      </c>
      <c r="N46" s="107"/>
      <c r="O46" s="122">
        <v>653583</v>
      </c>
      <c r="P46" s="128">
        <v>43096</v>
      </c>
      <c r="Q46" s="122">
        <v>3789569</v>
      </c>
      <c r="R46" s="107"/>
      <c r="S46" s="128">
        <v>0</v>
      </c>
      <c r="T46" s="122">
        <v>0</v>
      </c>
      <c r="U46" s="128">
        <v>-3244856</v>
      </c>
      <c r="V46" s="107"/>
      <c r="W46" s="128">
        <v>8554587</v>
      </c>
      <c r="X46" s="111"/>
      <c r="Y46" s="128">
        <v>1222593</v>
      </c>
      <c r="AA46" s="40"/>
    </row>
    <row r="47" spans="1:27" ht="20.100000000000001" customHeight="1" x14ac:dyDescent="0.25">
      <c r="A47" s="119">
        <v>141</v>
      </c>
      <c r="B47" s="68" t="s">
        <v>144</v>
      </c>
      <c r="C47" s="123">
        <f>'MFPRSI Supplemental info 2022'!D47</f>
        <v>3.82833E-3</v>
      </c>
      <c r="D47" s="123">
        <v>3.6312599999999999E-3</v>
      </c>
      <c r="E47" s="128">
        <f>'MFPRSI Supplemental info 2022'!W47</f>
        <v>2149877</v>
      </c>
      <c r="F47" s="128">
        <f t="shared" si="0"/>
        <v>2039208</v>
      </c>
      <c r="G47" s="128">
        <f t="shared" si="1"/>
        <v>-110669</v>
      </c>
      <c r="H47" s="128">
        <f t="shared" si="2"/>
        <v>314700</v>
      </c>
      <c r="I47" s="128">
        <f t="shared" si="3"/>
        <v>314700</v>
      </c>
      <c r="J47" s="128">
        <f t="shared" si="4"/>
        <v>0</v>
      </c>
      <c r="K47" s="122">
        <f t="shared" si="5"/>
        <v>-21700</v>
      </c>
      <c r="L47" s="122">
        <f t="shared" si="6"/>
        <v>0</v>
      </c>
      <c r="M47" s="122">
        <f t="shared" si="7"/>
        <v>-88969</v>
      </c>
      <c r="N47" s="107"/>
      <c r="O47" s="122">
        <v>173729</v>
      </c>
      <c r="P47" s="128">
        <v>11455</v>
      </c>
      <c r="Q47" s="122">
        <v>1007304</v>
      </c>
      <c r="R47" s="107"/>
      <c r="S47" s="128">
        <v>0</v>
      </c>
      <c r="T47" s="122">
        <v>0</v>
      </c>
      <c r="U47" s="128">
        <v>-862514</v>
      </c>
      <c r="V47" s="107"/>
      <c r="W47" s="128">
        <v>2273892</v>
      </c>
      <c r="X47" s="111"/>
      <c r="Y47" s="128">
        <v>324977</v>
      </c>
      <c r="AA47" s="40"/>
    </row>
    <row r="48" spans="1:27" ht="20.100000000000001" customHeight="1" x14ac:dyDescent="0.25">
      <c r="A48" s="119">
        <v>142</v>
      </c>
      <c r="B48" s="63" t="s">
        <v>145</v>
      </c>
      <c r="C48" s="123">
        <f>'MFPRSI Supplemental info 2022'!D48</f>
        <v>6.1897260000000003E-2</v>
      </c>
      <c r="D48" s="123">
        <v>5.910108E-2</v>
      </c>
      <c r="E48" s="128">
        <f>'MFPRSI Supplemental info 2022'!W48</f>
        <v>34759674</v>
      </c>
      <c r="F48" s="128">
        <f t="shared" si="0"/>
        <v>33189422</v>
      </c>
      <c r="G48" s="128">
        <f t="shared" si="1"/>
        <v>-1570252</v>
      </c>
      <c r="H48" s="128">
        <f t="shared" si="2"/>
        <v>5121950</v>
      </c>
      <c r="I48" s="128">
        <f t="shared" si="3"/>
        <v>5121950</v>
      </c>
      <c r="J48" s="128">
        <f t="shared" si="4"/>
        <v>0</v>
      </c>
      <c r="K48" s="122">
        <f t="shared" si="5"/>
        <v>-307893</v>
      </c>
      <c r="L48" s="122">
        <f t="shared" si="6"/>
        <v>0</v>
      </c>
      <c r="M48" s="122">
        <f t="shared" si="7"/>
        <v>-1262359</v>
      </c>
      <c r="N48" s="107"/>
      <c r="O48" s="122">
        <v>2827543</v>
      </c>
      <c r="P48" s="128">
        <v>186441</v>
      </c>
      <c r="Q48" s="122">
        <v>16394516</v>
      </c>
      <c r="R48" s="107"/>
      <c r="S48" s="128">
        <v>0</v>
      </c>
      <c r="T48" s="122">
        <v>0</v>
      </c>
      <c r="U48" s="128">
        <v>-14037967</v>
      </c>
      <c r="V48" s="107"/>
      <c r="W48" s="128">
        <v>37009040</v>
      </c>
      <c r="X48" s="111"/>
      <c r="Y48" s="128">
        <v>5289207</v>
      </c>
      <c r="AA48" s="40"/>
    </row>
    <row r="49" spans="1:27" ht="20.100000000000001" customHeight="1" x14ac:dyDescent="0.25">
      <c r="A49" s="119">
        <v>143</v>
      </c>
      <c r="B49" s="63" t="s">
        <v>146</v>
      </c>
      <c r="C49" s="123">
        <f>'MFPRSI Supplemental info 2022'!D49</f>
        <v>5.1801699999999996E-3</v>
      </c>
      <c r="D49" s="123">
        <v>4.7686300000000003E-3</v>
      </c>
      <c r="E49" s="128">
        <f>'MFPRSI Supplemental info 2022'!W49</f>
        <v>2909031</v>
      </c>
      <c r="F49" s="128">
        <f t="shared" si="0"/>
        <v>2677922</v>
      </c>
      <c r="G49" s="128">
        <f t="shared" si="1"/>
        <v>-231109</v>
      </c>
      <c r="H49" s="128">
        <f t="shared" si="2"/>
        <v>413270</v>
      </c>
      <c r="I49" s="128">
        <f t="shared" si="3"/>
        <v>413270</v>
      </c>
      <c r="J49" s="128">
        <f t="shared" si="4"/>
        <v>0</v>
      </c>
      <c r="K49" s="122">
        <f t="shared" si="5"/>
        <v>-45315</v>
      </c>
      <c r="L49" s="122">
        <f t="shared" si="6"/>
        <v>0</v>
      </c>
      <c r="M49" s="122">
        <f t="shared" si="7"/>
        <v>-185794</v>
      </c>
      <c r="N49" s="107"/>
      <c r="O49" s="122">
        <v>228143</v>
      </c>
      <c r="P49" s="128">
        <v>15043</v>
      </c>
      <c r="Q49" s="122">
        <v>1322808</v>
      </c>
      <c r="R49" s="107"/>
      <c r="S49" s="128">
        <v>0</v>
      </c>
      <c r="T49" s="122">
        <v>0</v>
      </c>
      <c r="U49" s="128">
        <v>-1132667</v>
      </c>
      <c r="V49" s="107"/>
      <c r="W49" s="128">
        <v>2986112</v>
      </c>
      <c r="X49" s="111"/>
      <c r="Y49" s="128">
        <v>426765</v>
      </c>
      <c r="AA49" s="40"/>
    </row>
    <row r="50" spans="1:27" ht="20.100000000000001" customHeight="1" x14ac:dyDescent="0.25">
      <c r="A50" s="119">
        <v>144</v>
      </c>
      <c r="B50" s="63" t="s">
        <v>147</v>
      </c>
      <c r="C50" s="123">
        <f>'MFPRSI Supplemental info 2022'!D50</f>
        <v>4.2561999999999999E-3</v>
      </c>
      <c r="D50" s="123">
        <v>4.1007300000000003E-3</v>
      </c>
      <c r="E50" s="128">
        <f>'MFPRSI Supplemental info 2022'!W50</f>
        <v>2390156</v>
      </c>
      <c r="F50" s="128">
        <f t="shared" si="0"/>
        <v>2302849</v>
      </c>
      <c r="G50" s="128">
        <f t="shared" si="1"/>
        <v>-87307</v>
      </c>
      <c r="H50" s="128">
        <f t="shared" si="2"/>
        <v>355387</v>
      </c>
      <c r="I50" s="128">
        <f t="shared" si="3"/>
        <v>355387</v>
      </c>
      <c r="J50" s="128">
        <f t="shared" si="4"/>
        <v>0</v>
      </c>
      <c r="K50" s="122">
        <f t="shared" si="5"/>
        <v>-17119</v>
      </c>
      <c r="L50" s="122">
        <f t="shared" si="6"/>
        <v>0</v>
      </c>
      <c r="M50" s="122">
        <f t="shared" si="7"/>
        <v>-70188</v>
      </c>
      <c r="N50" s="107"/>
      <c r="O50" s="122">
        <v>196189</v>
      </c>
      <c r="P50" s="128">
        <v>12936</v>
      </c>
      <c r="Q50" s="122">
        <v>1137534</v>
      </c>
      <c r="R50" s="107"/>
      <c r="S50" s="128">
        <v>0</v>
      </c>
      <c r="T50" s="122">
        <v>0</v>
      </c>
      <c r="U50" s="128">
        <v>-974025</v>
      </c>
      <c r="V50" s="107"/>
      <c r="W50" s="128">
        <v>2567873</v>
      </c>
      <c r="X50" s="111"/>
      <c r="Y50" s="128">
        <v>366992</v>
      </c>
      <c r="AA50" s="40"/>
    </row>
    <row r="51" spans="1:27" ht="20.100000000000001" customHeight="1" x14ac:dyDescent="0.25">
      <c r="A51" s="119">
        <v>145</v>
      </c>
      <c r="B51" s="63" t="s">
        <v>148</v>
      </c>
      <c r="C51" s="123">
        <f>'MFPRSI Supplemental info 2022'!D51</f>
        <v>2.4744470000000001E-2</v>
      </c>
      <c r="D51" s="123">
        <v>2.5963799999999999E-2</v>
      </c>
      <c r="E51" s="128">
        <f>'MFPRSI Supplemental info 2022'!W51</f>
        <v>13895764</v>
      </c>
      <c r="F51" s="128">
        <f t="shared" si="0"/>
        <v>14580504</v>
      </c>
      <c r="G51" s="128">
        <f t="shared" si="1"/>
        <v>684740</v>
      </c>
      <c r="H51" s="128">
        <f t="shared" si="2"/>
        <v>2250133</v>
      </c>
      <c r="I51" s="128">
        <f t="shared" si="3"/>
        <v>2250133</v>
      </c>
      <c r="J51" s="128">
        <f t="shared" si="4"/>
        <v>0</v>
      </c>
      <c r="K51" s="122">
        <f t="shared" si="5"/>
        <v>134263</v>
      </c>
      <c r="L51" s="122">
        <f t="shared" si="6"/>
        <v>550477</v>
      </c>
      <c r="M51" s="122">
        <f t="shared" si="7"/>
        <v>0</v>
      </c>
      <c r="N51" s="107"/>
      <c r="O51" s="122">
        <v>1242173</v>
      </c>
      <c r="P51" s="128">
        <v>81906</v>
      </c>
      <c r="Q51" s="122">
        <v>7202304</v>
      </c>
      <c r="R51" s="107"/>
      <c r="S51" s="128">
        <v>0</v>
      </c>
      <c r="T51" s="122">
        <v>0</v>
      </c>
      <c r="U51" s="128">
        <v>-6167044</v>
      </c>
      <c r="V51" s="107"/>
      <c r="W51" s="128">
        <v>16258507</v>
      </c>
      <c r="X51" s="111"/>
      <c r="Y51" s="128">
        <v>2323611</v>
      </c>
      <c r="AA51" s="40"/>
    </row>
    <row r="52" spans="1:27" ht="20.100000000000001" customHeight="1" x14ac:dyDescent="0.25">
      <c r="A52" s="119">
        <v>146</v>
      </c>
      <c r="B52" s="63" t="s">
        <v>149</v>
      </c>
      <c r="C52" s="123">
        <f>'MFPRSI Supplemental info 2022'!D52</f>
        <v>5.481954E-2</v>
      </c>
      <c r="D52" s="123">
        <v>5.5120929999999999E-2</v>
      </c>
      <c r="E52" s="128">
        <f>'MFPRSI Supplemental info 2022'!W52</f>
        <v>30785035</v>
      </c>
      <c r="F52" s="128">
        <f t="shared" si="0"/>
        <v>30954287</v>
      </c>
      <c r="G52" s="128">
        <f t="shared" si="1"/>
        <v>169252</v>
      </c>
      <c r="H52" s="128">
        <f t="shared" si="2"/>
        <v>4777013</v>
      </c>
      <c r="I52" s="128">
        <f t="shared" si="3"/>
        <v>4777013</v>
      </c>
      <c r="J52" s="128">
        <f t="shared" si="4"/>
        <v>0</v>
      </c>
      <c r="K52" s="122">
        <f t="shared" si="5"/>
        <v>33187</v>
      </c>
      <c r="L52" s="122">
        <f t="shared" si="6"/>
        <v>136065</v>
      </c>
      <c r="M52" s="122">
        <f t="shared" si="7"/>
        <v>0</v>
      </c>
      <c r="N52" s="107"/>
      <c r="O52" s="122">
        <v>2637123</v>
      </c>
      <c r="P52" s="128">
        <v>173886</v>
      </c>
      <c r="Q52" s="122">
        <v>15290430</v>
      </c>
      <c r="R52" s="107"/>
      <c r="S52" s="128">
        <v>0</v>
      </c>
      <c r="T52" s="122">
        <v>0</v>
      </c>
      <c r="U52" s="128">
        <v>-13092583</v>
      </c>
      <c r="V52" s="107"/>
      <c r="W52" s="128">
        <v>34516674</v>
      </c>
      <c r="X52" s="111"/>
      <c r="Y52" s="128">
        <v>4933007</v>
      </c>
      <c r="AA52" s="40"/>
    </row>
    <row r="53" spans="1:27" ht="20.100000000000001" customHeight="1" x14ac:dyDescent="0.25">
      <c r="A53" s="119">
        <v>147</v>
      </c>
      <c r="B53" s="63" t="s">
        <v>150</v>
      </c>
      <c r="C53" s="123">
        <f>'MFPRSI Supplemental info 2022'!D53</f>
        <v>3.6596200000000001E-3</v>
      </c>
      <c r="D53" s="123">
        <v>3.39441E-3</v>
      </c>
      <c r="E53" s="128">
        <f>'MFPRSI Supplemental info 2022'!W53</f>
        <v>2055135</v>
      </c>
      <c r="F53" s="128">
        <f t="shared" si="0"/>
        <v>1906200</v>
      </c>
      <c r="G53" s="128">
        <f t="shared" si="1"/>
        <v>-148935</v>
      </c>
      <c r="H53" s="128">
        <f t="shared" si="2"/>
        <v>294174</v>
      </c>
      <c r="I53" s="128">
        <f t="shared" si="3"/>
        <v>294174</v>
      </c>
      <c r="J53" s="128">
        <f t="shared" si="4"/>
        <v>0</v>
      </c>
      <c r="K53" s="122">
        <f t="shared" si="5"/>
        <v>-29203</v>
      </c>
      <c r="L53" s="122">
        <f t="shared" si="6"/>
        <v>0</v>
      </c>
      <c r="M53" s="122">
        <f t="shared" si="7"/>
        <v>-119732</v>
      </c>
      <c r="N53" s="107"/>
      <c r="O53" s="122">
        <v>162397</v>
      </c>
      <c r="P53" s="128">
        <v>10708</v>
      </c>
      <c r="Q53" s="122">
        <v>941602</v>
      </c>
      <c r="R53" s="107"/>
      <c r="S53" s="128">
        <v>0</v>
      </c>
      <c r="T53" s="122">
        <v>0</v>
      </c>
      <c r="U53" s="128">
        <v>-806256</v>
      </c>
      <c r="V53" s="107"/>
      <c r="W53" s="128">
        <v>2125576</v>
      </c>
      <c r="X53" s="111"/>
      <c r="Y53" s="128">
        <v>303780</v>
      </c>
      <c r="AA53" s="40"/>
    </row>
    <row r="54" spans="1:27" ht="20.100000000000001" customHeight="1" x14ac:dyDescent="0.25">
      <c r="A54" s="119">
        <v>148</v>
      </c>
      <c r="B54" s="63" t="s">
        <v>151</v>
      </c>
      <c r="C54" s="123">
        <f>'MFPRSI Supplemental info 2022'!D54</f>
        <v>3.2436000000000001E-3</v>
      </c>
      <c r="D54" s="123">
        <v>2.9741799999999999E-3</v>
      </c>
      <c r="E54" s="128">
        <f>'MFPRSI Supplemental info 2022'!W54</f>
        <v>1821510</v>
      </c>
      <c r="F54" s="128">
        <f t="shared" si="0"/>
        <v>1670212</v>
      </c>
      <c r="G54" s="128">
        <f t="shared" si="1"/>
        <v>-151298</v>
      </c>
      <c r="H54" s="128">
        <f t="shared" si="2"/>
        <v>257755</v>
      </c>
      <c r="I54" s="128">
        <f t="shared" si="3"/>
        <v>257755</v>
      </c>
      <c r="J54" s="128">
        <f t="shared" si="4"/>
        <v>0</v>
      </c>
      <c r="K54" s="122">
        <f t="shared" si="5"/>
        <v>-29666</v>
      </c>
      <c r="L54" s="122">
        <f t="shared" si="6"/>
        <v>0</v>
      </c>
      <c r="M54" s="122">
        <f t="shared" si="7"/>
        <v>-121632</v>
      </c>
      <c r="N54" s="107"/>
      <c r="O54" s="122">
        <v>142292</v>
      </c>
      <c r="P54" s="128">
        <v>9382</v>
      </c>
      <c r="Q54" s="122">
        <v>825031</v>
      </c>
      <c r="R54" s="107"/>
      <c r="S54" s="128">
        <v>0</v>
      </c>
      <c r="T54" s="122">
        <v>0</v>
      </c>
      <c r="U54" s="128">
        <v>-706441</v>
      </c>
      <c r="V54" s="107"/>
      <c r="W54" s="128">
        <v>1862429</v>
      </c>
      <c r="X54" s="111"/>
      <c r="Y54" s="128">
        <v>266172</v>
      </c>
      <c r="AA54" s="40"/>
    </row>
    <row r="55" spans="1:27" ht="19.5" customHeight="1" x14ac:dyDescent="0.25">
      <c r="A55" s="119">
        <v>149</v>
      </c>
      <c r="B55" s="63" t="s">
        <v>152</v>
      </c>
      <c r="C55" s="123">
        <f>'MFPRSI Supplemental info 2022'!D55</f>
        <v>3.9357250000000003E-2</v>
      </c>
      <c r="D55" s="123">
        <v>4.0207029999999998E-2</v>
      </c>
      <c r="E55" s="128">
        <f>'MFPRSI Supplemental info 2022'!W55</f>
        <v>22101870</v>
      </c>
      <c r="F55" s="128">
        <f>ROUND($E$57*D55,0)</f>
        <v>22579081</v>
      </c>
      <c r="G55" s="128">
        <f t="shared" si="1"/>
        <v>477211</v>
      </c>
      <c r="H55" s="128">
        <f t="shared" si="2"/>
        <v>3484511</v>
      </c>
      <c r="I55" s="128">
        <f t="shared" si="3"/>
        <v>3484511</v>
      </c>
      <c r="J55" s="128">
        <f t="shared" si="4"/>
        <v>0</v>
      </c>
      <c r="K55" s="122">
        <f t="shared" si="5"/>
        <v>93571</v>
      </c>
      <c r="L55" s="122">
        <f t="shared" si="6"/>
        <v>383640</v>
      </c>
      <c r="M55" s="122">
        <f t="shared" si="7"/>
        <v>0</v>
      </c>
      <c r="N55" s="107"/>
      <c r="O55" s="122">
        <v>1923605</v>
      </c>
      <c r="P55" s="128">
        <v>126838</v>
      </c>
      <c r="Q55" s="122">
        <v>11153346</v>
      </c>
      <c r="R55" s="107"/>
      <c r="S55" s="128">
        <v>0</v>
      </c>
      <c r="T55" s="122">
        <v>0</v>
      </c>
      <c r="U55" s="128">
        <v>-9550163</v>
      </c>
      <c r="V55" s="107"/>
      <c r="W55" s="128">
        <v>25177604</v>
      </c>
      <c r="X55" s="111"/>
      <c r="Y55" s="128">
        <v>3598298</v>
      </c>
      <c r="AA55" s="40"/>
    </row>
    <row r="56" spans="1:27" x14ac:dyDescent="0.25">
      <c r="A56" s="106"/>
      <c r="B56" s="107"/>
      <c r="C56" s="110"/>
      <c r="D56" s="108"/>
      <c r="E56" s="112"/>
      <c r="F56" s="121"/>
      <c r="G56" s="121"/>
      <c r="H56" s="121"/>
      <c r="I56" s="121"/>
      <c r="K56" s="68"/>
      <c r="L56" s="68"/>
      <c r="M56" s="68"/>
      <c r="N56" s="107"/>
      <c r="O56" s="107"/>
      <c r="P56" s="109"/>
      <c r="Q56" s="107"/>
      <c r="R56" s="107"/>
      <c r="S56" s="107"/>
      <c r="T56" s="107"/>
      <c r="U56" s="111"/>
      <c r="V56" s="107"/>
      <c r="W56" s="109"/>
      <c r="X56" s="109"/>
      <c r="Y56" s="111"/>
    </row>
    <row r="57" spans="1:27" x14ac:dyDescent="0.25">
      <c r="A57" s="106"/>
      <c r="B57" s="107"/>
      <c r="C57" s="131">
        <f t="shared" ref="C57:D57" si="8">SUM(C7:C56)</f>
        <v>1.0000000200000003</v>
      </c>
      <c r="D57" s="131">
        <f t="shared" si="8"/>
        <v>1.0000000100000002</v>
      </c>
      <c r="E57" s="128">
        <f>SUM(E7:E56)+E61</f>
        <v>561570476</v>
      </c>
      <c r="F57" s="128">
        <f>SUM(F7:F56)+F61</f>
        <v>561570476</v>
      </c>
      <c r="G57" s="128">
        <f>SUM(G7:G56)+G61</f>
        <v>0</v>
      </c>
      <c r="H57" s="128">
        <f>SUM(H7:H56)+H61</f>
        <v>86664231</v>
      </c>
      <c r="I57" s="132">
        <f>SUM(I7:I56)+I61</f>
        <v>86664231</v>
      </c>
      <c r="J57" s="121">
        <f>SUM(J7:J56)</f>
        <v>0</v>
      </c>
      <c r="K57" s="138">
        <f>SUM(K7:K55)</f>
        <v>3</v>
      </c>
      <c r="L57" s="128">
        <f t="shared" ref="L57" si="9">SUM(L7:L56)</f>
        <v>7436285</v>
      </c>
      <c r="M57" s="128">
        <f>SUM(M7:M56)</f>
        <v>-7436282</v>
      </c>
      <c r="N57" s="107"/>
      <c r="O57" s="128">
        <f>SUM(O7:O56)</f>
        <v>47842493</v>
      </c>
      <c r="P57" s="128">
        <f>SUM(P7:P56)</f>
        <v>3154619</v>
      </c>
      <c r="Q57" s="128">
        <f>SUM(Q7:Q56)</f>
        <v>277397902</v>
      </c>
      <c r="R57" s="107"/>
      <c r="S57" s="128">
        <f>SUM(S7:S56)+S61</f>
        <v>0</v>
      </c>
      <c r="T57" s="128">
        <f>SUM(T7:T56)+T61</f>
        <v>0</v>
      </c>
      <c r="U57" s="128">
        <f>SUM(U7:U56)+U61</f>
        <v>-237524708</v>
      </c>
      <c r="V57" s="111"/>
      <c r="W57" s="128">
        <f>SUM(W7:W56)+W61</f>
        <v>626199050</v>
      </c>
      <c r="X57" s="111"/>
      <c r="Y57" s="128">
        <f>SUM(Y7:Y56)+Y61</f>
        <v>89494260</v>
      </c>
      <c r="AA57" s="40"/>
    </row>
    <row r="58" spans="1:27" x14ac:dyDescent="0.25">
      <c r="A58" s="106"/>
      <c r="B58" s="107"/>
      <c r="C58" s="131"/>
      <c r="D58" s="131"/>
      <c r="E58" s="128"/>
      <c r="F58" s="128"/>
      <c r="G58" s="121"/>
      <c r="H58" s="112"/>
      <c r="I58" s="108"/>
      <c r="K58" s="121"/>
      <c r="L58" s="128"/>
      <c r="M58" s="128"/>
      <c r="N58" s="107"/>
      <c r="O58" s="111"/>
      <c r="P58" s="111"/>
      <c r="Q58" s="111"/>
      <c r="R58" s="107"/>
      <c r="S58" s="128"/>
      <c r="T58" s="128"/>
      <c r="U58" s="128"/>
      <c r="V58" s="111"/>
      <c r="W58" s="111"/>
      <c r="X58" s="111"/>
      <c r="Y58" s="128"/>
    </row>
    <row r="59" spans="1:27" x14ac:dyDescent="0.25">
      <c r="A59" s="106"/>
      <c r="B59" s="107"/>
      <c r="C59" s="123"/>
      <c r="D59" s="121"/>
      <c r="E59" s="128"/>
      <c r="F59" s="128"/>
      <c r="G59" s="121"/>
      <c r="H59" s="108"/>
      <c r="I59" s="108"/>
      <c r="K59" s="121"/>
      <c r="L59" s="128"/>
      <c r="M59" s="128"/>
      <c r="N59" s="107"/>
      <c r="O59" s="130" t="s">
        <v>60</v>
      </c>
      <c r="P59" s="68"/>
      <c r="Q59" s="131"/>
      <c r="R59" s="131"/>
      <c r="S59" s="132"/>
      <c r="T59" s="132"/>
      <c r="U59" s="121">
        <v>5.0999999999999996</v>
      </c>
      <c r="V59" s="133" t="s">
        <v>61</v>
      </c>
      <c r="W59" s="128"/>
      <c r="X59" s="111"/>
      <c r="Y59" s="128"/>
    </row>
    <row r="60" spans="1:27" x14ac:dyDescent="0.25">
      <c r="A60" s="106"/>
      <c r="B60" s="107"/>
      <c r="C60" s="123"/>
      <c r="D60" s="121"/>
      <c r="E60" s="68"/>
      <c r="F60" s="68"/>
      <c r="G60" s="121"/>
      <c r="H60" s="108"/>
      <c r="I60" s="108"/>
      <c r="K60" s="68"/>
      <c r="L60" s="68"/>
      <c r="M60" s="68"/>
      <c r="N60" s="107"/>
      <c r="O60" s="130" t="s">
        <v>196</v>
      </c>
      <c r="P60" s="122"/>
      <c r="Q60" s="68"/>
      <c r="R60" s="68"/>
      <c r="S60" s="68"/>
      <c r="T60" s="68"/>
      <c r="U60" s="134">
        <v>86664231</v>
      </c>
      <c r="V60" s="107"/>
      <c r="W60" s="107"/>
      <c r="X60" s="107"/>
      <c r="Y60" s="68"/>
    </row>
    <row r="61" spans="1:27" x14ac:dyDescent="0.25">
      <c r="A61" s="106"/>
      <c r="B61" s="68" t="s">
        <v>153</v>
      </c>
      <c r="C61" s="123"/>
      <c r="D61" s="121"/>
      <c r="E61" s="68">
        <v>0</v>
      </c>
      <c r="F61" s="68">
        <v>-6</v>
      </c>
      <c r="G61" s="121">
        <v>-6</v>
      </c>
      <c r="H61" s="121">
        <v>-4</v>
      </c>
      <c r="I61" s="121">
        <v>-4</v>
      </c>
      <c r="K61" s="68">
        <v>0</v>
      </c>
      <c r="L61" s="68"/>
      <c r="M61" s="68"/>
      <c r="N61" s="107"/>
      <c r="O61" s="107"/>
      <c r="P61" s="109"/>
      <c r="Q61" s="107"/>
      <c r="R61" s="107"/>
      <c r="S61" s="68">
        <v>0</v>
      </c>
      <c r="T61" s="68">
        <v>0</v>
      </c>
      <c r="U61" s="128">
        <v>0</v>
      </c>
      <c r="V61" s="107"/>
      <c r="W61" s="68">
        <v>0</v>
      </c>
      <c r="X61" s="107"/>
      <c r="Y61" s="68">
        <v>0</v>
      </c>
    </row>
  </sheetData>
  <mergeCells count="3">
    <mergeCell ref="K3:M3"/>
    <mergeCell ref="O3:Q3"/>
    <mergeCell ref="S3:U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D78BE-2A79-4D11-B077-454EB43D7DE3}">
  <dimension ref="A1:AA61"/>
  <sheetViews>
    <sheetView workbookViewId="0">
      <pane xSplit="2" ySplit="6" topLeftCell="C37" activePane="bottomRight" state="frozen"/>
      <selection pane="topRight" activeCell="C1" sqref="C1"/>
      <selection pane="bottomLeft" activeCell="A7" sqref="A7"/>
      <selection pane="bottomRight" activeCell="C39" sqref="C39"/>
    </sheetView>
  </sheetViews>
  <sheetFormatPr defaultRowHeight="15" x14ac:dyDescent="0.25"/>
  <cols>
    <col min="1" max="1" width="3.5703125" style="46" bestFit="1" customWidth="1"/>
    <col min="2" max="2" width="15" style="50" bestFit="1" customWidth="1"/>
    <col min="3" max="3" width="10.7109375" style="85" bestFit="1" customWidth="1"/>
    <col min="4" max="4" width="10.7109375" style="90" bestFit="1" customWidth="1"/>
    <col min="5" max="5" width="11.140625" style="90" bestFit="1" customWidth="1"/>
    <col min="6" max="6" width="10.7109375" style="90" bestFit="1" customWidth="1"/>
    <col min="7" max="7" width="9.7109375" style="90" bestFit="1" customWidth="1"/>
    <col min="8" max="9" width="9.85546875" style="90" bestFit="1" customWidth="1"/>
    <col min="10" max="10" width="11.140625" style="90" customWidth="1"/>
    <col min="11" max="11" width="8.7109375" style="50" bestFit="1" customWidth="1"/>
    <col min="12" max="12" width="9.28515625" style="50" bestFit="1" customWidth="1"/>
    <col min="13" max="13" width="9.7109375" style="50" bestFit="1" customWidth="1"/>
    <col min="14" max="14" width="0.85546875" style="50" customWidth="1"/>
    <col min="15" max="15" width="10.7109375" style="50" bestFit="1" customWidth="1"/>
    <col min="16" max="16" width="12.42578125" style="51" bestFit="1" customWidth="1"/>
    <col min="17" max="17" width="10.7109375" style="50" customWidth="1"/>
    <col min="18" max="18" width="2.28515625" style="50" customWidth="1"/>
    <col min="19" max="19" width="10.7109375" style="50" bestFit="1" customWidth="1"/>
    <col min="20" max="20" width="11.7109375" style="50" customWidth="1"/>
    <col min="21" max="21" width="12.7109375" style="50" bestFit="1" customWidth="1"/>
    <col min="22" max="22" width="2.28515625" style="50" customWidth="1"/>
    <col min="23" max="23" width="12.7109375" style="50" bestFit="1" customWidth="1"/>
    <col min="24" max="24" width="2.28515625" style="50" customWidth="1"/>
    <col min="25" max="25" width="11.140625" style="50" bestFit="1" customWidth="1"/>
    <col min="27" max="27" width="12.5703125" bestFit="1" customWidth="1"/>
  </cols>
  <sheetData>
    <row r="1" spans="1:27" x14ac:dyDescent="0.25">
      <c r="A1" s="119"/>
      <c r="B1" s="68"/>
      <c r="C1" s="120" t="s">
        <v>157</v>
      </c>
      <c r="D1" s="121"/>
      <c r="E1" s="121"/>
      <c r="F1" s="121"/>
      <c r="G1" s="121"/>
      <c r="H1" s="121"/>
      <c r="I1" s="121"/>
      <c r="J1" s="121"/>
      <c r="K1" s="68"/>
      <c r="L1" s="68"/>
      <c r="M1" s="68"/>
      <c r="N1" s="68"/>
      <c r="O1" s="120" t="s">
        <v>158</v>
      </c>
      <c r="P1" s="122"/>
      <c r="Q1" s="68"/>
      <c r="R1" s="68"/>
      <c r="S1" s="68"/>
      <c r="T1" s="68"/>
      <c r="U1" s="68"/>
      <c r="V1" s="68"/>
      <c r="W1" s="68"/>
      <c r="X1" s="68"/>
      <c r="Y1" s="68"/>
    </row>
    <row r="2" spans="1:27" x14ac:dyDescent="0.25">
      <c r="A2" s="119"/>
      <c r="B2" s="68"/>
      <c r="C2" s="123"/>
      <c r="D2" s="121"/>
      <c r="E2" s="121"/>
      <c r="F2" s="121"/>
      <c r="G2" s="121"/>
      <c r="H2" s="121"/>
      <c r="I2" s="121"/>
      <c r="J2" s="121"/>
      <c r="K2" s="68"/>
      <c r="L2" s="68"/>
      <c r="M2" s="68"/>
      <c r="N2" s="68"/>
      <c r="O2" s="68"/>
      <c r="P2" s="122"/>
      <c r="Q2" s="68"/>
      <c r="R2" s="68"/>
      <c r="S2" s="68"/>
      <c r="T2" s="68"/>
      <c r="U2" s="68"/>
      <c r="V2" s="68"/>
      <c r="W2" s="68"/>
      <c r="X2" s="68"/>
      <c r="Y2" s="68"/>
    </row>
    <row r="3" spans="1:27" x14ac:dyDescent="0.25">
      <c r="A3" s="119"/>
      <c r="B3" s="68"/>
      <c r="C3" s="123"/>
      <c r="D3" s="121"/>
      <c r="E3" s="121"/>
      <c r="F3" s="121"/>
      <c r="G3" s="121"/>
      <c r="H3" s="115" t="s">
        <v>78</v>
      </c>
      <c r="I3" s="121"/>
      <c r="J3" s="121"/>
      <c r="K3" s="168" t="s">
        <v>79</v>
      </c>
      <c r="L3" s="168"/>
      <c r="M3" s="168"/>
      <c r="N3" s="68"/>
      <c r="O3" s="169" t="s">
        <v>27</v>
      </c>
      <c r="P3" s="169"/>
      <c r="Q3" s="169"/>
      <c r="R3" s="68"/>
      <c r="S3" s="169" t="s">
        <v>30</v>
      </c>
      <c r="T3" s="169"/>
      <c r="U3" s="169"/>
      <c r="V3" s="68"/>
      <c r="W3" s="68"/>
      <c r="X3" s="68"/>
      <c r="Y3" s="68"/>
    </row>
    <row r="4" spans="1:27" x14ac:dyDescent="0.25">
      <c r="A4" s="119"/>
      <c r="B4" s="68"/>
      <c r="C4" s="113">
        <v>44377</v>
      </c>
      <c r="D4" s="113">
        <v>44742</v>
      </c>
      <c r="E4" s="113">
        <v>44377</v>
      </c>
      <c r="F4" s="121"/>
      <c r="G4" s="115" t="s">
        <v>80</v>
      </c>
      <c r="H4" s="115" t="s">
        <v>49</v>
      </c>
      <c r="I4" s="115" t="s">
        <v>49</v>
      </c>
      <c r="J4" s="115" t="s">
        <v>81</v>
      </c>
      <c r="K4" s="68"/>
      <c r="L4" s="68"/>
      <c r="M4" s="68"/>
      <c r="N4" s="68"/>
      <c r="O4" s="115" t="s">
        <v>82</v>
      </c>
      <c r="P4" s="122"/>
      <c r="Q4" s="115" t="s">
        <v>83</v>
      </c>
      <c r="R4" s="115"/>
      <c r="S4" s="115" t="s">
        <v>82</v>
      </c>
      <c r="T4" s="68"/>
      <c r="U4" s="115" t="s">
        <v>83</v>
      </c>
      <c r="V4" s="115"/>
      <c r="W4" s="115" t="s">
        <v>159</v>
      </c>
      <c r="X4" s="115"/>
      <c r="Y4" s="119" t="s">
        <v>84</v>
      </c>
    </row>
    <row r="5" spans="1:27" x14ac:dyDescent="0.25">
      <c r="A5" s="119" t="s">
        <v>154</v>
      </c>
      <c r="B5" s="68"/>
      <c r="C5" s="114" t="s">
        <v>85</v>
      </c>
      <c r="D5" s="114" t="s">
        <v>85</v>
      </c>
      <c r="E5" s="115" t="s">
        <v>86</v>
      </c>
      <c r="F5" s="115" t="s">
        <v>87</v>
      </c>
      <c r="G5" s="115" t="s">
        <v>85</v>
      </c>
      <c r="H5" s="115" t="s">
        <v>88</v>
      </c>
      <c r="I5" s="115" t="s">
        <v>88</v>
      </c>
      <c r="J5" s="115" t="s">
        <v>89</v>
      </c>
      <c r="K5" s="115" t="s">
        <v>90</v>
      </c>
      <c r="L5" s="119" t="s">
        <v>91</v>
      </c>
      <c r="M5" s="119" t="s">
        <v>91</v>
      </c>
      <c r="N5" s="68"/>
      <c r="O5" s="119" t="s">
        <v>92</v>
      </c>
      <c r="P5" s="124" t="s">
        <v>160</v>
      </c>
      <c r="Q5" s="119" t="s">
        <v>92</v>
      </c>
      <c r="R5" s="119"/>
      <c r="S5" s="119" t="s">
        <v>92</v>
      </c>
      <c r="T5" s="115" t="s">
        <v>160</v>
      </c>
      <c r="U5" s="119" t="s">
        <v>92</v>
      </c>
      <c r="V5" s="119"/>
      <c r="W5" s="115" t="s">
        <v>87</v>
      </c>
      <c r="X5" s="115"/>
      <c r="Y5" s="119" t="s">
        <v>90</v>
      </c>
    </row>
    <row r="6" spans="1:27" ht="20.100000000000001" customHeight="1" x14ac:dyDescent="0.35">
      <c r="A6" s="125" t="s">
        <v>155</v>
      </c>
      <c r="B6" s="57" t="s">
        <v>93</v>
      </c>
      <c r="C6" s="116" t="s">
        <v>94</v>
      </c>
      <c r="D6" s="116" t="s">
        <v>94</v>
      </c>
      <c r="E6" s="117" t="s">
        <v>95</v>
      </c>
      <c r="F6" s="118">
        <v>44377</v>
      </c>
      <c r="G6" s="117" t="s">
        <v>96</v>
      </c>
      <c r="H6" s="117" t="s">
        <v>97</v>
      </c>
      <c r="I6" s="117" t="s">
        <v>97</v>
      </c>
      <c r="J6" s="117" t="s">
        <v>98</v>
      </c>
      <c r="K6" s="117" t="s">
        <v>56</v>
      </c>
      <c r="L6" s="117" t="s">
        <v>99</v>
      </c>
      <c r="M6" s="126" t="s">
        <v>100</v>
      </c>
      <c r="N6" s="68"/>
      <c r="O6" s="126" t="s">
        <v>101</v>
      </c>
      <c r="P6" s="127" t="s">
        <v>102</v>
      </c>
      <c r="Q6" s="126" t="s">
        <v>103</v>
      </c>
      <c r="R6" s="126"/>
      <c r="S6" s="126" t="s">
        <v>101</v>
      </c>
      <c r="T6" s="126" t="s">
        <v>102</v>
      </c>
      <c r="U6" s="126" t="s">
        <v>103</v>
      </c>
      <c r="V6" s="126"/>
      <c r="W6" s="118">
        <v>44742</v>
      </c>
      <c r="X6" s="118"/>
      <c r="Y6" s="126" t="s">
        <v>56</v>
      </c>
    </row>
    <row r="7" spans="1:27" ht="20.100000000000001" customHeight="1" x14ac:dyDescent="0.25">
      <c r="A7" s="119">
        <v>101</v>
      </c>
      <c r="B7" s="63" t="s">
        <v>104</v>
      </c>
      <c r="C7" s="123">
        <f>'MFPRSI Supplemental info 2021'!D7</f>
        <v>2.675493E-2</v>
      </c>
      <c r="D7" s="123">
        <v>2.5657909999999999E-2</v>
      </c>
      <c r="E7" s="128">
        <f>'MFPRSI Supplemental info 2021'!W7</f>
        <v>6008465</v>
      </c>
      <c r="F7" s="128">
        <f>ROUND($E$57*D7,0)</f>
        <v>5762103</v>
      </c>
      <c r="G7" s="128">
        <f>F7-E7</f>
        <v>-246362</v>
      </c>
      <c r="H7" s="128">
        <f>ROUND(D7*$U$60,0)</f>
        <v>2268721</v>
      </c>
      <c r="I7" s="128">
        <f>H7</f>
        <v>2268721</v>
      </c>
      <c r="J7" s="128">
        <f>H7-I7</f>
        <v>0</v>
      </c>
      <c r="K7" s="122">
        <f>ROUND((G7+J7)/$U$59,0)</f>
        <v>-46483</v>
      </c>
      <c r="L7" s="129">
        <f>IF(K7&lt;0,0,G7+J7-K7)</f>
        <v>0</v>
      </c>
      <c r="M7" s="122">
        <f>IF(G7&lt;0,(G7+J7-K7),0)</f>
        <v>-199879</v>
      </c>
      <c r="N7" s="107"/>
      <c r="O7" s="122">
        <v>894748</v>
      </c>
      <c r="P7" s="128">
        <v>40418</v>
      </c>
      <c r="Q7" s="122">
        <v>8970863</v>
      </c>
      <c r="R7" s="107"/>
      <c r="S7" s="128">
        <v>-18528</v>
      </c>
      <c r="T7" s="122">
        <v>0</v>
      </c>
      <c r="U7" s="128">
        <v>-9141581</v>
      </c>
      <c r="V7" s="107"/>
      <c r="W7" s="128">
        <v>14408725</v>
      </c>
      <c r="X7" s="111"/>
      <c r="Y7" s="128">
        <v>1362210</v>
      </c>
      <c r="AA7" s="40"/>
    </row>
    <row r="8" spans="1:27" ht="20.100000000000001" customHeight="1" x14ac:dyDescent="0.25">
      <c r="A8" s="119">
        <v>102</v>
      </c>
      <c r="B8" s="63" t="s">
        <v>105</v>
      </c>
      <c r="C8" s="123">
        <f>'MFPRSI Supplemental info 2021'!D8</f>
        <v>2.6951550000000001E-2</v>
      </c>
      <c r="D8" s="123">
        <v>2.895932E-2</v>
      </c>
      <c r="E8" s="128">
        <f>'MFPRSI Supplemental info 2021'!W8</f>
        <v>6052621</v>
      </c>
      <c r="F8" s="128">
        <f t="shared" ref="F8:F54" si="0">ROUND($E$57*D8,0)</f>
        <v>6503514</v>
      </c>
      <c r="G8" s="128">
        <f t="shared" ref="G8:G55" si="1">F8-E8</f>
        <v>450893</v>
      </c>
      <c r="H8" s="128">
        <f t="shared" ref="H8:H55" si="2">ROUND(D8*$U$60,0)</f>
        <v>2560638</v>
      </c>
      <c r="I8" s="128">
        <f t="shared" ref="I8:I55" si="3">H8</f>
        <v>2560638</v>
      </c>
      <c r="J8" s="128">
        <f t="shared" ref="J8:J55" si="4">H8-I8</f>
        <v>0</v>
      </c>
      <c r="K8" s="122">
        <f t="shared" ref="K8:K55" si="5">ROUND((G8+J8)/$U$59,0)</f>
        <v>85074</v>
      </c>
      <c r="L8" s="122">
        <f t="shared" ref="L8:L55" si="6">IF(K8&lt;0,0,G8+J8-K8)</f>
        <v>365819</v>
      </c>
      <c r="M8" s="122">
        <f t="shared" ref="M8:M55" si="7">IF(G8&lt;0,(G8+J8-K8),0)</f>
        <v>0</v>
      </c>
      <c r="N8" s="107"/>
      <c r="O8" s="122">
        <v>1009876</v>
      </c>
      <c r="P8" s="128">
        <v>45619</v>
      </c>
      <c r="Q8" s="122">
        <v>10125146</v>
      </c>
      <c r="R8" s="107"/>
      <c r="S8" s="128">
        <v>-20912</v>
      </c>
      <c r="T8" s="122">
        <v>0</v>
      </c>
      <c r="U8" s="128">
        <v>-10317831</v>
      </c>
      <c r="V8" s="107"/>
      <c r="W8" s="128">
        <v>16262699</v>
      </c>
      <c r="X8" s="111"/>
      <c r="Y8" s="128">
        <v>1537486</v>
      </c>
      <c r="AA8" s="40"/>
    </row>
    <row r="9" spans="1:27" ht="20.100000000000001" customHeight="1" x14ac:dyDescent="0.25">
      <c r="A9" s="119">
        <v>103</v>
      </c>
      <c r="B9" s="63" t="s">
        <v>106</v>
      </c>
      <c r="C9" s="123">
        <f>'MFPRSI Supplemental info 2021'!D9</f>
        <v>1.910042E-2</v>
      </c>
      <c r="D9" s="123">
        <v>1.9275E-2</v>
      </c>
      <c r="E9" s="128">
        <f>'MFPRSI Supplemental info 2021'!W9</f>
        <v>4289460</v>
      </c>
      <c r="F9" s="128">
        <f t="shared" si="0"/>
        <v>4328666</v>
      </c>
      <c r="G9" s="128">
        <f t="shared" si="1"/>
        <v>39206</v>
      </c>
      <c r="H9" s="128">
        <f t="shared" si="2"/>
        <v>1704332</v>
      </c>
      <c r="I9" s="128">
        <f t="shared" si="3"/>
        <v>1704332</v>
      </c>
      <c r="J9" s="128">
        <f t="shared" si="4"/>
        <v>0</v>
      </c>
      <c r="K9" s="122">
        <f t="shared" si="5"/>
        <v>7397</v>
      </c>
      <c r="L9" s="122">
        <f t="shared" si="6"/>
        <v>31809</v>
      </c>
      <c r="M9" s="122">
        <f t="shared" si="7"/>
        <v>0</v>
      </c>
      <c r="N9" s="107"/>
      <c r="O9" s="122">
        <v>672162</v>
      </c>
      <c r="P9" s="128">
        <v>30363</v>
      </c>
      <c r="Q9" s="122">
        <v>6739184</v>
      </c>
      <c r="R9" s="107"/>
      <c r="S9" s="128">
        <v>-13919</v>
      </c>
      <c r="T9" s="122">
        <v>0</v>
      </c>
      <c r="U9" s="128">
        <v>-6867433</v>
      </c>
      <c r="V9" s="107"/>
      <c r="W9" s="128">
        <v>10824271</v>
      </c>
      <c r="X9" s="111"/>
      <c r="Y9" s="128">
        <v>1023334</v>
      </c>
      <c r="AA9" s="40"/>
    </row>
    <row r="10" spans="1:27" ht="20.100000000000001" customHeight="1" x14ac:dyDescent="0.25">
      <c r="A10" s="119">
        <v>104</v>
      </c>
      <c r="B10" s="63" t="s">
        <v>107</v>
      </c>
      <c r="C10" s="123">
        <f>'MFPRSI Supplemental info 2021'!D10</f>
        <v>5.5416199999999997E-3</v>
      </c>
      <c r="D10" s="123">
        <v>5.6354500000000002E-3</v>
      </c>
      <c r="E10" s="128">
        <f>'MFPRSI Supplemental info 2021'!W10</f>
        <v>1244505</v>
      </c>
      <c r="F10" s="128">
        <f t="shared" si="0"/>
        <v>1265576</v>
      </c>
      <c r="G10" s="128">
        <f t="shared" si="1"/>
        <v>21071</v>
      </c>
      <c r="H10" s="128">
        <f t="shared" si="2"/>
        <v>498297</v>
      </c>
      <c r="I10" s="128">
        <f t="shared" si="3"/>
        <v>498297</v>
      </c>
      <c r="J10" s="128">
        <f t="shared" si="4"/>
        <v>0</v>
      </c>
      <c r="K10" s="122">
        <f t="shared" si="5"/>
        <v>3976</v>
      </c>
      <c r="L10" s="122">
        <f t="shared" si="6"/>
        <v>17095</v>
      </c>
      <c r="M10" s="122">
        <f t="shared" si="7"/>
        <v>0</v>
      </c>
      <c r="N10" s="107"/>
      <c r="O10" s="122">
        <v>196521</v>
      </c>
      <c r="P10" s="128">
        <v>8877</v>
      </c>
      <c r="Q10" s="122">
        <v>1970342</v>
      </c>
      <c r="R10" s="107"/>
      <c r="S10" s="128">
        <v>-4069</v>
      </c>
      <c r="T10" s="122">
        <v>0</v>
      </c>
      <c r="U10" s="128">
        <v>-2007838</v>
      </c>
      <c r="V10" s="107"/>
      <c r="W10" s="128">
        <v>3164702</v>
      </c>
      <c r="X10" s="111"/>
      <c r="Y10" s="128">
        <v>299193</v>
      </c>
      <c r="AA10" s="40"/>
    </row>
    <row r="11" spans="1:27" ht="20.100000000000001" customHeight="1" x14ac:dyDescent="0.25">
      <c r="A11" s="119">
        <v>105</v>
      </c>
      <c r="B11" s="63" t="s">
        <v>108</v>
      </c>
      <c r="C11" s="123">
        <f>'MFPRSI Supplemental info 2021'!D11</f>
        <v>1.854316E-2</v>
      </c>
      <c r="D11" s="123">
        <v>1.8328790000000001E-2</v>
      </c>
      <c r="E11" s="128">
        <f>'MFPRSI Supplemental info 2021'!W11</f>
        <v>4164314</v>
      </c>
      <c r="F11" s="128">
        <f t="shared" si="0"/>
        <v>4116172</v>
      </c>
      <c r="G11" s="128">
        <f t="shared" si="1"/>
        <v>-48142</v>
      </c>
      <c r="H11" s="128">
        <f t="shared" si="2"/>
        <v>1620667</v>
      </c>
      <c r="I11" s="128">
        <f t="shared" si="3"/>
        <v>1620667</v>
      </c>
      <c r="J11" s="128">
        <f t="shared" si="4"/>
        <v>0</v>
      </c>
      <c r="K11" s="122">
        <f t="shared" si="5"/>
        <v>-9083</v>
      </c>
      <c r="L11" s="122">
        <f t="shared" si="6"/>
        <v>0</v>
      </c>
      <c r="M11" s="122">
        <f t="shared" si="7"/>
        <v>-39059</v>
      </c>
      <c r="N11" s="107"/>
      <c r="O11" s="122">
        <v>639166</v>
      </c>
      <c r="P11" s="128">
        <v>28873</v>
      </c>
      <c r="Q11" s="122">
        <v>6408358</v>
      </c>
      <c r="R11" s="107"/>
      <c r="S11" s="128">
        <v>-13235</v>
      </c>
      <c r="T11" s="122">
        <v>0</v>
      </c>
      <c r="U11" s="128">
        <v>-6530311</v>
      </c>
      <c r="V11" s="107"/>
      <c r="W11" s="128">
        <v>10292907</v>
      </c>
      <c r="X11" s="111"/>
      <c r="Y11" s="128">
        <v>973098</v>
      </c>
      <c r="AA11" s="40"/>
    </row>
    <row r="12" spans="1:27" ht="20.100000000000001" customHeight="1" x14ac:dyDescent="0.25">
      <c r="A12" s="119">
        <v>106</v>
      </c>
      <c r="B12" s="63" t="s">
        <v>109</v>
      </c>
      <c r="C12" s="123">
        <f>'MFPRSI Supplemental info 2021'!D12</f>
        <v>2.9950599999999999E-3</v>
      </c>
      <c r="D12" s="123">
        <v>2.8699300000000001E-3</v>
      </c>
      <c r="E12" s="128">
        <f>'MFPRSI Supplemental info 2021'!W12</f>
        <v>672613</v>
      </c>
      <c r="F12" s="128">
        <f t="shared" si="0"/>
        <v>644512</v>
      </c>
      <c r="G12" s="128">
        <f t="shared" si="1"/>
        <v>-28101</v>
      </c>
      <c r="H12" s="128">
        <f t="shared" si="2"/>
        <v>253765</v>
      </c>
      <c r="I12" s="128">
        <f t="shared" si="3"/>
        <v>253765</v>
      </c>
      <c r="J12" s="128">
        <f t="shared" si="4"/>
        <v>0</v>
      </c>
      <c r="K12" s="122">
        <f t="shared" si="5"/>
        <v>-5302</v>
      </c>
      <c r="L12" s="122">
        <f t="shared" si="6"/>
        <v>0</v>
      </c>
      <c r="M12" s="122">
        <f t="shared" si="7"/>
        <v>-22799</v>
      </c>
      <c r="N12" s="107"/>
      <c r="O12" s="122">
        <v>100081</v>
      </c>
      <c r="P12" s="128">
        <v>4521</v>
      </c>
      <c r="Q12" s="122">
        <v>1003423</v>
      </c>
      <c r="R12" s="107"/>
      <c r="S12" s="128">
        <v>-2072</v>
      </c>
      <c r="T12" s="122">
        <v>0</v>
      </c>
      <c r="U12" s="128">
        <v>-1022519</v>
      </c>
      <c r="V12" s="107"/>
      <c r="W12" s="128">
        <v>1611668</v>
      </c>
      <c r="X12" s="111"/>
      <c r="Y12" s="128">
        <v>152368</v>
      </c>
      <c r="AA12" s="40"/>
    </row>
    <row r="13" spans="1:27" ht="20.100000000000001" customHeight="1" x14ac:dyDescent="0.25">
      <c r="A13" s="119">
        <v>107</v>
      </c>
      <c r="B13" s="63" t="s">
        <v>110</v>
      </c>
      <c r="C13" s="123">
        <f>'MFPRSI Supplemental info 2021'!D13</f>
        <v>2.8070399999999998E-3</v>
      </c>
      <c r="D13" s="123">
        <v>3.0856E-3</v>
      </c>
      <c r="E13" s="128">
        <f>'MFPRSI Supplemental info 2021'!W13</f>
        <v>630389</v>
      </c>
      <c r="F13" s="128">
        <f t="shared" si="0"/>
        <v>692946</v>
      </c>
      <c r="G13" s="128">
        <f t="shared" si="1"/>
        <v>62557</v>
      </c>
      <c r="H13" s="128">
        <f t="shared" si="2"/>
        <v>272835</v>
      </c>
      <c r="I13" s="128">
        <f t="shared" si="3"/>
        <v>272835</v>
      </c>
      <c r="J13" s="128">
        <f t="shared" si="4"/>
        <v>0</v>
      </c>
      <c r="K13" s="122">
        <f t="shared" si="5"/>
        <v>11803</v>
      </c>
      <c r="L13" s="122">
        <f t="shared" si="6"/>
        <v>50754</v>
      </c>
      <c r="M13" s="122">
        <f t="shared" si="7"/>
        <v>0</v>
      </c>
      <c r="N13" s="107"/>
      <c r="O13" s="122">
        <v>107602</v>
      </c>
      <c r="P13" s="128">
        <v>4861</v>
      </c>
      <c r="Q13" s="122">
        <v>1078829</v>
      </c>
      <c r="R13" s="107"/>
      <c r="S13" s="128">
        <v>-2228</v>
      </c>
      <c r="T13" s="122">
        <v>0</v>
      </c>
      <c r="U13" s="128">
        <v>-1099359</v>
      </c>
      <c r="V13" s="107"/>
      <c r="W13" s="128">
        <v>1732782</v>
      </c>
      <c r="X13" s="111"/>
      <c r="Y13" s="128">
        <v>163818</v>
      </c>
      <c r="AA13" s="40"/>
    </row>
    <row r="14" spans="1:27" ht="20.100000000000001" customHeight="1" x14ac:dyDescent="0.25">
      <c r="A14" s="119">
        <v>108</v>
      </c>
      <c r="B14" s="63" t="s">
        <v>111</v>
      </c>
      <c r="C14" s="123">
        <f>'MFPRSI Supplemental info 2021'!D14</f>
        <v>1.7572129999999998E-2</v>
      </c>
      <c r="D14" s="123">
        <v>1.749498E-2</v>
      </c>
      <c r="E14" s="128">
        <f>'MFPRSI Supplemental info 2021'!W14</f>
        <v>3946246</v>
      </c>
      <c r="F14" s="128">
        <f t="shared" si="0"/>
        <v>3928920</v>
      </c>
      <c r="G14" s="128">
        <f t="shared" si="1"/>
        <v>-17326</v>
      </c>
      <c r="H14" s="128">
        <f t="shared" si="2"/>
        <v>1546940</v>
      </c>
      <c r="I14" s="128">
        <f t="shared" si="3"/>
        <v>1546940</v>
      </c>
      <c r="J14" s="128">
        <f t="shared" si="4"/>
        <v>0</v>
      </c>
      <c r="K14" s="122">
        <f t="shared" si="5"/>
        <v>-3269</v>
      </c>
      <c r="L14" s="122">
        <f t="shared" si="6"/>
        <v>0</v>
      </c>
      <c r="M14" s="122">
        <f t="shared" si="7"/>
        <v>-14057</v>
      </c>
      <c r="N14" s="107"/>
      <c r="O14" s="122">
        <v>610089</v>
      </c>
      <c r="P14" s="128">
        <v>27559</v>
      </c>
      <c r="Q14" s="122">
        <v>6116830</v>
      </c>
      <c r="R14" s="107"/>
      <c r="S14" s="128">
        <v>-12633</v>
      </c>
      <c r="T14" s="122">
        <v>0</v>
      </c>
      <c r="U14" s="128">
        <v>-6233235</v>
      </c>
      <c r="V14" s="107"/>
      <c r="W14" s="128">
        <v>9824664</v>
      </c>
      <c r="X14" s="111"/>
      <c r="Y14" s="128">
        <v>928830</v>
      </c>
      <c r="AA14" s="40"/>
    </row>
    <row r="15" spans="1:27" ht="20.100000000000001" customHeight="1" x14ac:dyDescent="0.25">
      <c r="A15" s="119">
        <v>109</v>
      </c>
      <c r="B15" s="63" t="s">
        <v>112</v>
      </c>
      <c r="C15" s="123">
        <f>'MFPRSI Supplemental info 2021'!D15</f>
        <v>9.1210609999999998E-2</v>
      </c>
      <c r="D15" s="123">
        <v>9.2451000000000005E-2</v>
      </c>
      <c r="E15" s="128">
        <f>'MFPRSI Supplemental info 2021'!W15</f>
        <v>20483544</v>
      </c>
      <c r="F15" s="128">
        <f t="shared" si="0"/>
        <v>20762103</v>
      </c>
      <c r="G15" s="128">
        <f t="shared" si="1"/>
        <v>278559</v>
      </c>
      <c r="H15" s="128">
        <f t="shared" si="2"/>
        <v>8174694</v>
      </c>
      <c r="I15" s="128">
        <f t="shared" si="3"/>
        <v>8174694</v>
      </c>
      <c r="J15" s="128">
        <f t="shared" si="4"/>
        <v>0</v>
      </c>
      <c r="K15" s="122">
        <f t="shared" si="5"/>
        <v>52558</v>
      </c>
      <c r="L15" s="122">
        <f t="shared" si="6"/>
        <v>226001</v>
      </c>
      <c r="M15" s="122">
        <f t="shared" si="7"/>
        <v>0</v>
      </c>
      <c r="N15" s="107"/>
      <c r="O15" s="122">
        <v>3223972</v>
      </c>
      <c r="P15" s="128">
        <v>145635</v>
      </c>
      <c r="Q15" s="122">
        <v>32323960</v>
      </c>
      <c r="R15" s="107"/>
      <c r="S15" s="128">
        <v>-66759</v>
      </c>
      <c r="T15" s="122">
        <v>0</v>
      </c>
      <c r="U15" s="128">
        <v>-32939095</v>
      </c>
      <c r="V15" s="107"/>
      <c r="W15" s="128">
        <v>51917752</v>
      </c>
      <c r="X15" s="111"/>
      <c r="Y15" s="128">
        <v>4908338</v>
      </c>
      <c r="AA15" s="40"/>
    </row>
    <row r="16" spans="1:27" ht="20.100000000000001" customHeight="1" x14ac:dyDescent="0.25">
      <c r="A16" s="119">
        <v>110</v>
      </c>
      <c r="B16" s="63" t="s">
        <v>113</v>
      </c>
      <c r="C16" s="123">
        <f>'MFPRSI Supplemental info 2021'!D16</f>
        <v>2.2886299999999998E-3</v>
      </c>
      <c r="D16" s="123">
        <v>2.22449E-3</v>
      </c>
      <c r="E16" s="128">
        <f>'MFPRSI Supplemental info 2021'!W16</f>
        <v>513967</v>
      </c>
      <c r="F16" s="128">
        <f t="shared" si="0"/>
        <v>499563</v>
      </c>
      <c r="G16" s="128">
        <f t="shared" si="1"/>
        <v>-14404</v>
      </c>
      <c r="H16" s="128">
        <f t="shared" si="2"/>
        <v>196694</v>
      </c>
      <c r="I16" s="128">
        <f t="shared" si="3"/>
        <v>196694</v>
      </c>
      <c r="J16" s="128">
        <f t="shared" si="4"/>
        <v>0</v>
      </c>
      <c r="K16" s="122">
        <f t="shared" si="5"/>
        <v>-2718</v>
      </c>
      <c r="L16" s="122">
        <f t="shared" si="6"/>
        <v>0</v>
      </c>
      <c r="M16" s="122">
        <f t="shared" si="7"/>
        <v>-11686</v>
      </c>
      <c r="N16" s="107"/>
      <c r="O16" s="122">
        <v>77573</v>
      </c>
      <c r="P16" s="128">
        <v>3504</v>
      </c>
      <c r="Q16" s="122">
        <v>777756</v>
      </c>
      <c r="R16" s="107"/>
      <c r="S16" s="128">
        <v>-1606</v>
      </c>
      <c r="T16" s="122">
        <v>0</v>
      </c>
      <c r="U16" s="128">
        <v>-792557</v>
      </c>
      <c r="V16" s="107"/>
      <c r="W16" s="128">
        <v>1249208</v>
      </c>
      <c r="X16" s="111"/>
      <c r="Y16" s="128">
        <v>118101</v>
      </c>
      <c r="AA16" s="40"/>
    </row>
    <row r="17" spans="1:27" ht="20.100000000000001" customHeight="1" x14ac:dyDescent="0.25">
      <c r="A17" s="119">
        <v>111</v>
      </c>
      <c r="B17" s="63" t="s">
        <v>114</v>
      </c>
      <c r="C17" s="123">
        <f>'MFPRSI Supplemental info 2021'!D17</f>
        <v>3.2693800000000001E-3</v>
      </c>
      <c r="D17" s="123">
        <v>3.16278E-3</v>
      </c>
      <c r="E17" s="128">
        <f>'MFPRSI Supplemental info 2021'!W17</f>
        <v>734218</v>
      </c>
      <c r="F17" s="128">
        <f t="shared" si="0"/>
        <v>710279</v>
      </c>
      <c r="G17" s="128">
        <f t="shared" si="1"/>
        <v>-23939</v>
      </c>
      <c r="H17" s="128">
        <f t="shared" si="2"/>
        <v>279659</v>
      </c>
      <c r="I17" s="128">
        <f t="shared" si="3"/>
        <v>279659</v>
      </c>
      <c r="J17" s="128">
        <f t="shared" si="4"/>
        <v>0</v>
      </c>
      <c r="K17" s="122">
        <f t="shared" si="5"/>
        <v>-4517</v>
      </c>
      <c r="L17" s="122">
        <f t="shared" si="6"/>
        <v>0</v>
      </c>
      <c r="M17" s="122">
        <f t="shared" si="7"/>
        <v>-19422</v>
      </c>
      <c r="N17" s="107"/>
      <c r="O17" s="122">
        <v>110293</v>
      </c>
      <c r="P17" s="128">
        <v>4982</v>
      </c>
      <c r="Q17" s="122">
        <v>1105814</v>
      </c>
      <c r="R17" s="107"/>
      <c r="S17" s="128">
        <v>-2284</v>
      </c>
      <c r="T17" s="122">
        <v>0</v>
      </c>
      <c r="U17" s="128">
        <v>-1126858</v>
      </c>
      <c r="V17" s="107"/>
      <c r="W17" s="128">
        <v>1776124</v>
      </c>
      <c r="X17" s="111"/>
      <c r="Y17" s="128">
        <v>167916</v>
      </c>
      <c r="AA17" s="40"/>
    </row>
    <row r="18" spans="1:27" ht="20.100000000000001" customHeight="1" x14ac:dyDescent="0.25">
      <c r="A18" s="119">
        <v>112</v>
      </c>
      <c r="B18" s="63" t="s">
        <v>115</v>
      </c>
      <c r="C18" s="123">
        <f>'MFPRSI Supplemental info 2021'!D18</f>
        <v>1.9434529999999998E-2</v>
      </c>
      <c r="D18" s="123">
        <v>1.8349000000000001E-2</v>
      </c>
      <c r="E18" s="128">
        <f>'MFPRSI Supplemental info 2021'!W18</f>
        <v>4364493</v>
      </c>
      <c r="F18" s="128">
        <f t="shared" si="0"/>
        <v>4120711</v>
      </c>
      <c r="G18" s="128">
        <f t="shared" si="1"/>
        <v>-243782</v>
      </c>
      <c r="H18" s="128">
        <f t="shared" si="2"/>
        <v>1622454</v>
      </c>
      <c r="I18" s="128">
        <f t="shared" si="3"/>
        <v>1622454</v>
      </c>
      <c r="J18" s="128">
        <f t="shared" si="4"/>
        <v>0</v>
      </c>
      <c r="K18" s="122">
        <f t="shared" si="5"/>
        <v>-45997</v>
      </c>
      <c r="L18" s="122">
        <f t="shared" si="6"/>
        <v>0</v>
      </c>
      <c r="M18" s="122">
        <f t="shared" si="7"/>
        <v>-197785</v>
      </c>
      <c r="N18" s="107"/>
      <c r="O18" s="122">
        <v>639870</v>
      </c>
      <c r="P18" s="128">
        <v>28905</v>
      </c>
      <c r="Q18" s="122">
        <v>6415424</v>
      </c>
      <c r="R18" s="107"/>
      <c r="S18" s="128">
        <v>-13250</v>
      </c>
      <c r="T18" s="122">
        <v>0</v>
      </c>
      <c r="U18" s="128">
        <v>-6537511</v>
      </c>
      <c r="V18" s="107"/>
      <c r="W18" s="128">
        <v>10304257</v>
      </c>
      <c r="X18" s="111"/>
      <c r="Y18" s="128">
        <v>974171</v>
      </c>
      <c r="AA18" s="40"/>
    </row>
    <row r="19" spans="1:27" ht="20.100000000000001" customHeight="1" x14ac:dyDescent="0.25">
      <c r="A19" s="119">
        <v>113</v>
      </c>
      <c r="B19" s="63" t="s">
        <v>116</v>
      </c>
      <c r="C19" s="123">
        <f>'MFPRSI Supplemental info 2021'!D19</f>
        <v>5.9913600000000003E-3</v>
      </c>
      <c r="D19" s="123">
        <v>6.23107E-3</v>
      </c>
      <c r="E19" s="128">
        <f>'MFPRSI Supplemental info 2021'!W19</f>
        <v>1345504</v>
      </c>
      <c r="F19" s="128">
        <f t="shared" si="0"/>
        <v>1399337</v>
      </c>
      <c r="G19" s="128">
        <f t="shared" si="1"/>
        <v>53833</v>
      </c>
      <c r="H19" s="128">
        <f t="shared" si="2"/>
        <v>550963</v>
      </c>
      <c r="I19" s="128">
        <f t="shared" si="3"/>
        <v>550963</v>
      </c>
      <c r="J19" s="128">
        <f t="shared" si="4"/>
        <v>0</v>
      </c>
      <c r="K19" s="122">
        <f t="shared" si="5"/>
        <v>10157</v>
      </c>
      <c r="L19" s="122">
        <f t="shared" si="6"/>
        <v>43676</v>
      </c>
      <c r="M19" s="122">
        <f t="shared" si="7"/>
        <v>0</v>
      </c>
      <c r="N19" s="107"/>
      <c r="O19" s="122">
        <v>217291</v>
      </c>
      <c r="P19" s="128">
        <v>9816</v>
      </c>
      <c r="Q19" s="122">
        <v>2178590</v>
      </c>
      <c r="R19" s="107"/>
      <c r="S19" s="128">
        <v>-4499</v>
      </c>
      <c r="T19" s="122">
        <v>0</v>
      </c>
      <c r="U19" s="128">
        <v>-2220050</v>
      </c>
      <c r="V19" s="107"/>
      <c r="W19" s="128">
        <v>3499185</v>
      </c>
      <c r="X19" s="111"/>
      <c r="Y19" s="128">
        <v>330815</v>
      </c>
      <c r="AA19" s="40"/>
    </row>
    <row r="20" spans="1:27" ht="20.100000000000001" customHeight="1" x14ac:dyDescent="0.25">
      <c r="A20" s="119">
        <v>114</v>
      </c>
      <c r="B20" s="63" t="s">
        <v>117</v>
      </c>
      <c r="C20" s="123">
        <f>'MFPRSI Supplemental info 2021'!D20</f>
        <v>5.6583609999999999E-2</v>
      </c>
      <c r="D20" s="123">
        <v>5.7342459999999998E-2</v>
      </c>
      <c r="E20" s="128">
        <f>'MFPRSI Supplemental info 2021'!W20</f>
        <v>12707215</v>
      </c>
      <c r="F20" s="128">
        <f t="shared" si="0"/>
        <v>12877633</v>
      </c>
      <c r="G20" s="128">
        <f t="shared" si="1"/>
        <v>170418</v>
      </c>
      <c r="H20" s="128">
        <f t="shared" si="2"/>
        <v>5070330</v>
      </c>
      <c r="I20" s="128">
        <f t="shared" si="3"/>
        <v>5070330</v>
      </c>
      <c r="J20" s="128">
        <f t="shared" si="4"/>
        <v>0</v>
      </c>
      <c r="K20" s="122">
        <f t="shared" si="5"/>
        <v>32154</v>
      </c>
      <c r="L20" s="122">
        <f t="shared" si="6"/>
        <v>138264</v>
      </c>
      <c r="M20" s="122">
        <f t="shared" si="7"/>
        <v>0</v>
      </c>
      <c r="N20" s="107"/>
      <c r="O20" s="122">
        <v>1999659</v>
      </c>
      <c r="P20" s="128">
        <v>90330</v>
      </c>
      <c r="Q20" s="122">
        <v>20048841</v>
      </c>
      <c r="R20" s="107"/>
      <c r="S20" s="128">
        <v>-41407</v>
      </c>
      <c r="T20" s="122">
        <v>0</v>
      </c>
      <c r="U20" s="128">
        <v>-20430377</v>
      </c>
      <c r="V20" s="107"/>
      <c r="W20" s="128">
        <v>32201833</v>
      </c>
      <c r="X20" s="111"/>
      <c r="Y20" s="128">
        <v>3044382</v>
      </c>
      <c r="AA20" s="40"/>
    </row>
    <row r="21" spans="1:27" ht="20.100000000000001" customHeight="1" x14ac:dyDescent="0.25">
      <c r="A21" s="119">
        <v>115</v>
      </c>
      <c r="B21" s="63" t="s">
        <v>118</v>
      </c>
      <c r="C21" s="123">
        <f>'MFPRSI Supplemental info 2021'!D21</f>
        <v>3.0254399999999999E-3</v>
      </c>
      <c r="D21" s="123">
        <v>2.7870099999999999E-3</v>
      </c>
      <c r="E21" s="128">
        <f>'MFPRSI Supplemental info 2021'!W21</f>
        <v>679436</v>
      </c>
      <c r="F21" s="128">
        <f t="shared" si="0"/>
        <v>625890</v>
      </c>
      <c r="G21" s="128">
        <f t="shared" si="1"/>
        <v>-53546</v>
      </c>
      <c r="H21" s="128">
        <f t="shared" si="2"/>
        <v>246433</v>
      </c>
      <c r="I21" s="128">
        <f t="shared" si="3"/>
        <v>246433</v>
      </c>
      <c r="J21" s="128">
        <f t="shared" si="4"/>
        <v>0</v>
      </c>
      <c r="K21" s="122">
        <f t="shared" si="5"/>
        <v>-10103</v>
      </c>
      <c r="L21" s="122">
        <f t="shared" si="6"/>
        <v>0</v>
      </c>
      <c r="M21" s="122">
        <f t="shared" si="7"/>
        <v>-43443</v>
      </c>
      <c r="N21" s="107"/>
      <c r="O21" s="122">
        <v>97189</v>
      </c>
      <c r="P21" s="128">
        <v>4390</v>
      </c>
      <c r="Q21" s="122">
        <v>974432</v>
      </c>
      <c r="R21" s="107"/>
      <c r="S21" s="128">
        <v>-2013</v>
      </c>
      <c r="T21" s="122">
        <v>0</v>
      </c>
      <c r="U21" s="128">
        <v>-992976</v>
      </c>
      <c r="V21" s="107"/>
      <c r="W21" s="128">
        <v>1565103</v>
      </c>
      <c r="X21" s="111"/>
      <c r="Y21" s="128">
        <v>147966</v>
      </c>
      <c r="AA21" s="40"/>
    </row>
    <row r="22" spans="1:27" ht="20.100000000000001" customHeight="1" x14ac:dyDescent="0.25">
      <c r="A22" s="119">
        <v>116</v>
      </c>
      <c r="B22" s="63" t="s">
        <v>119</v>
      </c>
      <c r="C22" s="123">
        <f>'MFPRSI Supplemental info 2021'!D22</f>
        <v>7.5574210000000003E-2</v>
      </c>
      <c r="D22" s="123">
        <v>7.2333990000000001E-2</v>
      </c>
      <c r="E22" s="128">
        <f>'MFPRSI Supplemental info 2021'!W22</f>
        <v>16972013</v>
      </c>
      <c r="F22" s="128">
        <f t="shared" si="0"/>
        <v>16244343</v>
      </c>
      <c r="G22" s="128">
        <f t="shared" si="1"/>
        <v>-727670</v>
      </c>
      <c r="H22" s="128">
        <f t="shared" si="2"/>
        <v>6395910</v>
      </c>
      <c r="I22" s="128">
        <f t="shared" si="3"/>
        <v>6395910</v>
      </c>
      <c r="J22" s="128">
        <f t="shared" si="4"/>
        <v>0</v>
      </c>
      <c r="K22" s="122">
        <f t="shared" si="5"/>
        <v>-137296</v>
      </c>
      <c r="L22" s="122">
        <f t="shared" si="6"/>
        <v>0</v>
      </c>
      <c r="M22" s="122">
        <f t="shared" si="7"/>
        <v>-590374</v>
      </c>
      <c r="N22" s="107"/>
      <c r="O22" s="122">
        <v>2522447</v>
      </c>
      <c r="P22" s="128">
        <v>113946</v>
      </c>
      <c r="Q22" s="122">
        <v>25290381</v>
      </c>
      <c r="R22" s="107"/>
      <c r="S22" s="128">
        <v>-52233</v>
      </c>
      <c r="T22" s="122">
        <v>0</v>
      </c>
      <c r="U22" s="128">
        <v>-25771665</v>
      </c>
      <c r="V22" s="107"/>
      <c r="W22" s="128">
        <v>40620633</v>
      </c>
      <c r="X22" s="111"/>
      <c r="Y22" s="128">
        <v>3840301</v>
      </c>
      <c r="AA22" s="40"/>
    </row>
    <row r="23" spans="1:27" ht="20.100000000000001" customHeight="1" x14ac:dyDescent="0.25">
      <c r="A23" s="119">
        <v>117</v>
      </c>
      <c r="B23" s="63" t="s">
        <v>120</v>
      </c>
      <c r="C23" s="123">
        <f>'MFPRSI Supplemental info 2021'!D23</f>
        <v>2.9299999999999999E-3</v>
      </c>
      <c r="D23" s="123">
        <v>2.8663E-3</v>
      </c>
      <c r="E23" s="128">
        <f>'MFPRSI Supplemental info 2021'!W23</f>
        <v>658002</v>
      </c>
      <c r="F23" s="128">
        <f t="shared" si="0"/>
        <v>643697</v>
      </c>
      <c r="G23" s="128">
        <f t="shared" si="1"/>
        <v>-14305</v>
      </c>
      <c r="H23" s="128">
        <f t="shared" si="2"/>
        <v>253444</v>
      </c>
      <c r="I23" s="128">
        <f t="shared" si="3"/>
        <v>253444</v>
      </c>
      <c r="J23" s="128">
        <f t="shared" si="4"/>
        <v>0</v>
      </c>
      <c r="K23" s="122">
        <f t="shared" si="5"/>
        <v>-2699</v>
      </c>
      <c r="L23" s="122">
        <f t="shared" si="6"/>
        <v>0</v>
      </c>
      <c r="M23" s="122">
        <f t="shared" si="7"/>
        <v>-11606</v>
      </c>
      <c r="N23" s="107"/>
      <c r="O23" s="122">
        <v>99954</v>
      </c>
      <c r="P23" s="128">
        <v>4515</v>
      </c>
      <c r="Q23" s="122">
        <v>1002154</v>
      </c>
      <c r="R23" s="107"/>
      <c r="S23" s="128">
        <v>-2070</v>
      </c>
      <c r="T23" s="122">
        <v>0</v>
      </c>
      <c r="U23" s="128">
        <v>-1021226</v>
      </c>
      <c r="V23" s="107"/>
      <c r="W23" s="128">
        <v>1609629</v>
      </c>
      <c r="X23" s="111"/>
      <c r="Y23" s="128">
        <v>152175</v>
      </c>
      <c r="AA23" s="40"/>
    </row>
    <row r="24" spans="1:27" ht="20.100000000000001" customHeight="1" x14ac:dyDescent="0.25">
      <c r="A24" s="119">
        <v>118</v>
      </c>
      <c r="B24" s="63" t="s">
        <v>121</v>
      </c>
      <c r="C24" s="123">
        <f>'MFPRSI Supplemental info 2021'!D24</f>
        <v>0.18374280000000001</v>
      </c>
      <c r="D24" s="123">
        <v>0.18537464000000001</v>
      </c>
      <c r="E24" s="128">
        <f>'MFPRSI Supplemental info 2021'!W24</f>
        <v>41263888</v>
      </c>
      <c r="F24" s="128">
        <f t="shared" si="0"/>
        <v>41630349</v>
      </c>
      <c r="G24" s="128">
        <f t="shared" si="1"/>
        <v>366461</v>
      </c>
      <c r="H24" s="128">
        <f t="shared" si="2"/>
        <v>16391180</v>
      </c>
      <c r="I24" s="128">
        <f t="shared" si="3"/>
        <v>16391180</v>
      </c>
      <c r="J24" s="128">
        <f t="shared" si="4"/>
        <v>0</v>
      </c>
      <c r="K24" s="122">
        <f t="shared" si="5"/>
        <v>69144</v>
      </c>
      <c r="L24" s="122">
        <f t="shared" si="6"/>
        <v>297317</v>
      </c>
      <c r="M24" s="122">
        <f t="shared" si="7"/>
        <v>0</v>
      </c>
      <c r="N24" s="107"/>
      <c r="O24" s="122">
        <v>6464423</v>
      </c>
      <c r="P24" s="128">
        <v>292014</v>
      </c>
      <c r="Q24" s="122">
        <v>64813168</v>
      </c>
      <c r="R24" s="107"/>
      <c r="S24" s="128">
        <v>-133861</v>
      </c>
      <c r="T24" s="122">
        <v>0</v>
      </c>
      <c r="U24" s="128">
        <v>-66046576</v>
      </c>
      <c r="V24" s="107"/>
      <c r="W24" s="128">
        <v>104100910</v>
      </c>
      <c r="X24" s="111"/>
      <c r="Y24" s="128">
        <v>9841769</v>
      </c>
      <c r="AA24" s="40"/>
    </row>
    <row r="25" spans="1:27" ht="20.100000000000001" customHeight="1" x14ac:dyDescent="0.25">
      <c r="A25" s="119">
        <v>119</v>
      </c>
      <c r="B25" s="63" t="s">
        <v>122</v>
      </c>
      <c r="C25" s="123">
        <f>'MFPRSI Supplemental info 2021'!D25</f>
        <v>2.0896399999999998E-3</v>
      </c>
      <c r="D25" s="123">
        <v>1.9517899999999999E-3</v>
      </c>
      <c r="E25" s="128">
        <f>'MFPRSI Supplemental info 2021'!W25</f>
        <v>469279</v>
      </c>
      <c r="F25" s="128">
        <f t="shared" si="0"/>
        <v>438322</v>
      </c>
      <c r="G25" s="128">
        <f t="shared" si="1"/>
        <v>-30957</v>
      </c>
      <c r="H25" s="128">
        <f t="shared" si="2"/>
        <v>172581</v>
      </c>
      <c r="I25" s="128">
        <f t="shared" si="3"/>
        <v>172581</v>
      </c>
      <c r="J25" s="128">
        <f t="shared" si="4"/>
        <v>0</v>
      </c>
      <c r="K25" s="122">
        <f t="shared" si="5"/>
        <v>-5841</v>
      </c>
      <c r="L25" s="122">
        <f t="shared" si="6"/>
        <v>0</v>
      </c>
      <c r="M25" s="122">
        <f t="shared" si="7"/>
        <v>-25116</v>
      </c>
      <c r="N25" s="107"/>
      <c r="O25" s="122">
        <v>68063</v>
      </c>
      <c r="P25" s="128">
        <v>3075</v>
      </c>
      <c r="Q25" s="122">
        <v>682411</v>
      </c>
      <c r="R25" s="107"/>
      <c r="S25" s="128">
        <v>-1409</v>
      </c>
      <c r="T25" s="122">
        <v>0</v>
      </c>
      <c r="U25" s="128">
        <v>-695398</v>
      </c>
      <c r="V25" s="107"/>
      <c r="W25" s="128">
        <v>1096068</v>
      </c>
      <c r="X25" s="111"/>
      <c r="Y25" s="128">
        <v>103623</v>
      </c>
      <c r="AA25" s="40"/>
    </row>
    <row r="26" spans="1:27" ht="20.100000000000001" customHeight="1" x14ac:dyDescent="0.25">
      <c r="A26" s="119">
        <v>120</v>
      </c>
      <c r="B26" s="63" t="s">
        <v>123</v>
      </c>
      <c r="C26" s="123">
        <f>'MFPRSI Supplemental info 2021'!D26</f>
        <v>4.4368930000000001E-2</v>
      </c>
      <c r="D26" s="123">
        <v>4.3236839999999999E-2</v>
      </c>
      <c r="E26" s="128">
        <f>'MFPRSI Supplemental info 2021'!W26</f>
        <v>9964114</v>
      </c>
      <c r="F26" s="128">
        <f t="shared" si="0"/>
        <v>9709876</v>
      </c>
      <c r="G26" s="128">
        <f t="shared" si="1"/>
        <v>-254238</v>
      </c>
      <c r="H26" s="128">
        <f t="shared" si="2"/>
        <v>3823084</v>
      </c>
      <c r="I26" s="128">
        <f t="shared" si="3"/>
        <v>3823084</v>
      </c>
      <c r="J26" s="128">
        <f t="shared" si="4"/>
        <v>0</v>
      </c>
      <c r="K26" s="122">
        <f t="shared" si="5"/>
        <v>-47969</v>
      </c>
      <c r="L26" s="122">
        <f t="shared" si="6"/>
        <v>0</v>
      </c>
      <c r="M26" s="122">
        <f t="shared" si="7"/>
        <v>-206269</v>
      </c>
      <c r="N26" s="107"/>
      <c r="O26" s="122">
        <v>1507765</v>
      </c>
      <c r="P26" s="128">
        <v>68110</v>
      </c>
      <c r="Q26" s="122">
        <v>15117045</v>
      </c>
      <c r="R26" s="107"/>
      <c r="S26" s="128">
        <v>-31221</v>
      </c>
      <c r="T26" s="122">
        <v>0</v>
      </c>
      <c r="U26" s="128">
        <v>-15404727</v>
      </c>
      <c r="V26" s="107"/>
      <c r="W26" s="128">
        <v>24280533</v>
      </c>
      <c r="X26" s="111"/>
      <c r="Y26" s="128">
        <v>2295497</v>
      </c>
      <c r="AA26" s="40"/>
    </row>
    <row r="27" spans="1:27" ht="20.100000000000001" customHeight="1" x14ac:dyDescent="0.25">
      <c r="A27" s="119">
        <v>121</v>
      </c>
      <c r="B27" s="63" t="s">
        <v>124</v>
      </c>
      <c r="C27" s="123">
        <f>'MFPRSI Supplemental info 2021'!D27</f>
        <v>2.1584600000000001E-3</v>
      </c>
      <c r="D27" s="123">
        <v>2.1899100000000002E-3</v>
      </c>
      <c r="E27" s="128">
        <f>'MFPRSI Supplemental info 2021'!W27</f>
        <v>484734</v>
      </c>
      <c r="F27" s="128">
        <f t="shared" si="0"/>
        <v>491797</v>
      </c>
      <c r="G27" s="128">
        <f t="shared" si="1"/>
        <v>7063</v>
      </c>
      <c r="H27" s="128">
        <f t="shared" si="2"/>
        <v>193636</v>
      </c>
      <c r="I27" s="128">
        <f t="shared" si="3"/>
        <v>193636</v>
      </c>
      <c r="J27" s="128">
        <f t="shared" si="4"/>
        <v>0</v>
      </c>
      <c r="K27" s="122">
        <f t="shared" si="5"/>
        <v>1333</v>
      </c>
      <c r="L27" s="122">
        <f t="shared" si="6"/>
        <v>5730</v>
      </c>
      <c r="M27" s="122">
        <f t="shared" si="7"/>
        <v>0</v>
      </c>
      <c r="N27" s="107"/>
      <c r="O27" s="122">
        <v>76367</v>
      </c>
      <c r="P27" s="128">
        <v>3450</v>
      </c>
      <c r="Q27" s="122">
        <v>765666</v>
      </c>
      <c r="R27" s="107"/>
      <c r="S27" s="128">
        <v>-1581</v>
      </c>
      <c r="T27" s="122">
        <v>0</v>
      </c>
      <c r="U27" s="128">
        <v>-780237</v>
      </c>
      <c r="V27" s="107"/>
      <c r="W27" s="128">
        <v>1229789</v>
      </c>
      <c r="X27" s="111"/>
      <c r="Y27" s="128">
        <v>116265</v>
      </c>
      <c r="AA27" s="40"/>
    </row>
    <row r="28" spans="1:27" ht="20.100000000000001" customHeight="1" x14ac:dyDescent="0.25">
      <c r="A28" s="119">
        <v>122</v>
      </c>
      <c r="B28" s="63" t="s">
        <v>125</v>
      </c>
      <c r="C28" s="123">
        <f>'MFPRSI Supplemental info 2021'!D28</f>
        <v>1.19947E-3</v>
      </c>
      <c r="D28" s="123">
        <v>1.30021E-3</v>
      </c>
      <c r="E28" s="128">
        <f>'MFPRSI Supplemental info 2021'!W28</f>
        <v>269370</v>
      </c>
      <c r="F28" s="128">
        <f t="shared" si="0"/>
        <v>291994</v>
      </c>
      <c r="G28" s="128">
        <f t="shared" si="1"/>
        <v>22624</v>
      </c>
      <c r="H28" s="128">
        <f t="shared" si="2"/>
        <v>114967</v>
      </c>
      <c r="I28" s="128">
        <f t="shared" si="3"/>
        <v>114967</v>
      </c>
      <c r="J28" s="128">
        <f t="shared" si="4"/>
        <v>0</v>
      </c>
      <c r="K28" s="122">
        <f t="shared" si="5"/>
        <v>4269</v>
      </c>
      <c r="L28" s="122">
        <f t="shared" si="6"/>
        <v>18355</v>
      </c>
      <c r="M28" s="122">
        <f t="shared" si="7"/>
        <v>0</v>
      </c>
      <c r="N28" s="107"/>
      <c r="O28" s="122">
        <v>45341</v>
      </c>
      <c r="P28" s="128">
        <v>2048</v>
      </c>
      <c r="Q28" s="122">
        <v>454597</v>
      </c>
      <c r="R28" s="107"/>
      <c r="S28" s="128">
        <v>-939</v>
      </c>
      <c r="T28" s="122">
        <v>0</v>
      </c>
      <c r="U28" s="128">
        <v>-463248</v>
      </c>
      <c r="V28" s="107"/>
      <c r="W28" s="128">
        <v>730160</v>
      </c>
      <c r="X28" s="111"/>
      <c r="Y28" s="128">
        <v>69030</v>
      </c>
      <c r="AA28" s="40"/>
    </row>
    <row r="29" spans="1:27" ht="20.100000000000001" customHeight="1" x14ac:dyDescent="0.25">
      <c r="A29" s="119">
        <v>123</v>
      </c>
      <c r="B29" s="63" t="s">
        <v>126</v>
      </c>
      <c r="C29" s="123">
        <f>'MFPRSI Supplemental info 2021'!D29</f>
        <v>2.7936300000000001E-3</v>
      </c>
      <c r="D29" s="123">
        <v>2.66877E-3</v>
      </c>
      <c r="E29" s="128">
        <f>'MFPRSI Supplemental info 2021'!W29</f>
        <v>627377</v>
      </c>
      <c r="F29" s="128">
        <f t="shared" si="0"/>
        <v>599337</v>
      </c>
      <c r="G29" s="128">
        <f t="shared" si="1"/>
        <v>-28040</v>
      </c>
      <c r="H29" s="128">
        <f t="shared" si="2"/>
        <v>235978</v>
      </c>
      <c r="I29" s="128">
        <f t="shared" si="3"/>
        <v>235978</v>
      </c>
      <c r="J29" s="128">
        <f t="shared" si="4"/>
        <v>0</v>
      </c>
      <c r="K29" s="122">
        <f t="shared" si="5"/>
        <v>-5291</v>
      </c>
      <c r="L29" s="122">
        <f t="shared" si="6"/>
        <v>0</v>
      </c>
      <c r="M29" s="122">
        <f t="shared" si="7"/>
        <v>-22749</v>
      </c>
      <c r="N29" s="107"/>
      <c r="O29" s="122">
        <v>93066</v>
      </c>
      <c r="P29" s="128">
        <v>4204</v>
      </c>
      <c r="Q29" s="122">
        <v>933091</v>
      </c>
      <c r="R29" s="107"/>
      <c r="S29" s="128">
        <v>-1927</v>
      </c>
      <c r="T29" s="122">
        <v>0</v>
      </c>
      <c r="U29" s="128">
        <v>-950848</v>
      </c>
      <c r="V29" s="107"/>
      <c r="W29" s="128">
        <v>1498702</v>
      </c>
      <c r="X29" s="111"/>
      <c r="Y29" s="128">
        <v>141688</v>
      </c>
      <c r="AA29" s="40"/>
    </row>
    <row r="30" spans="1:27" ht="20.100000000000001" customHeight="1" x14ac:dyDescent="0.25">
      <c r="A30" s="119">
        <v>124</v>
      </c>
      <c r="B30" s="63" t="s">
        <v>127</v>
      </c>
      <c r="C30" s="123">
        <f>'MFPRSI Supplemental info 2021'!D30</f>
        <v>1.6069980000000001E-2</v>
      </c>
      <c r="D30" s="123">
        <v>1.5825309999999999E-2</v>
      </c>
      <c r="E30" s="128">
        <f>'MFPRSI Supplemental info 2021'!W30</f>
        <v>3608902</v>
      </c>
      <c r="F30" s="128">
        <f t="shared" si="0"/>
        <v>3553955</v>
      </c>
      <c r="G30" s="128">
        <f t="shared" si="1"/>
        <v>-54947</v>
      </c>
      <c r="H30" s="128">
        <f t="shared" si="2"/>
        <v>1399304</v>
      </c>
      <c r="I30" s="128">
        <f t="shared" si="3"/>
        <v>1399304</v>
      </c>
      <c r="J30" s="128">
        <f t="shared" si="4"/>
        <v>0</v>
      </c>
      <c r="K30" s="122">
        <f t="shared" si="5"/>
        <v>-10367</v>
      </c>
      <c r="L30" s="122">
        <f t="shared" si="6"/>
        <v>0</v>
      </c>
      <c r="M30" s="122">
        <f t="shared" si="7"/>
        <v>-44580</v>
      </c>
      <c r="N30" s="107"/>
      <c r="O30" s="122">
        <v>551864</v>
      </c>
      <c r="P30" s="128">
        <v>24929</v>
      </c>
      <c r="Q30" s="122">
        <v>5533057</v>
      </c>
      <c r="R30" s="107"/>
      <c r="S30" s="128">
        <v>-11427</v>
      </c>
      <c r="T30" s="122">
        <v>0</v>
      </c>
      <c r="U30" s="128">
        <v>-5638353</v>
      </c>
      <c r="V30" s="107"/>
      <c r="W30" s="128">
        <v>8887027</v>
      </c>
      <c r="X30" s="111"/>
      <c r="Y30" s="128">
        <v>840185</v>
      </c>
      <c r="AA30" s="40"/>
    </row>
    <row r="31" spans="1:27" ht="20.100000000000001" customHeight="1" x14ac:dyDescent="0.25">
      <c r="A31" s="119">
        <v>125</v>
      </c>
      <c r="B31" s="63" t="s">
        <v>128</v>
      </c>
      <c r="C31" s="123">
        <f>'MFPRSI Supplemental info 2021'!D31</f>
        <v>6.59722E-3</v>
      </c>
      <c r="D31" s="123">
        <v>6.4626800000000002E-3</v>
      </c>
      <c r="E31" s="128">
        <f>'MFPRSI Supplemental info 2021'!W31</f>
        <v>1481565</v>
      </c>
      <c r="F31" s="128">
        <f t="shared" si="0"/>
        <v>1451351</v>
      </c>
      <c r="G31" s="128">
        <f t="shared" si="1"/>
        <v>-30214</v>
      </c>
      <c r="H31" s="128">
        <f t="shared" si="2"/>
        <v>571443</v>
      </c>
      <c r="I31" s="128">
        <f t="shared" si="3"/>
        <v>571443</v>
      </c>
      <c r="J31" s="128">
        <f t="shared" si="4"/>
        <v>0</v>
      </c>
      <c r="K31" s="122">
        <f t="shared" si="5"/>
        <v>-5701</v>
      </c>
      <c r="L31" s="122">
        <f t="shared" si="6"/>
        <v>0</v>
      </c>
      <c r="M31" s="122">
        <f t="shared" si="7"/>
        <v>-24513</v>
      </c>
      <c r="N31" s="107"/>
      <c r="O31" s="122">
        <v>225368</v>
      </c>
      <c r="P31" s="128">
        <v>10180</v>
      </c>
      <c r="Q31" s="122">
        <v>2259569</v>
      </c>
      <c r="R31" s="107"/>
      <c r="S31" s="128">
        <v>-4667</v>
      </c>
      <c r="T31" s="122">
        <v>0</v>
      </c>
      <c r="U31" s="128">
        <v>-2302569</v>
      </c>
      <c r="V31" s="107"/>
      <c r="W31" s="128">
        <v>3629250</v>
      </c>
      <c r="X31" s="111"/>
      <c r="Y31" s="128">
        <v>343112</v>
      </c>
      <c r="AA31" s="40"/>
    </row>
    <row r="32" spans="1:27" ht="20.100000000000001" customHeight="1" x14ac:dyDescent="0.25">
      <c r="A32" s="119">
        <v>126</v>
      </c>
      <c r="B32" s="63" t="s">
        <v>129</v>
      </c>
      <c r="C32" s="123">
        <f>'MFPRSI Supplemental info 2021'!D32</f>
        <v>3.61787E-3</v>
      </c>
      <c r="D32" s="123">
        <v>3.8945899999999999E-3</v>
      </c>
      <c r="E32" s="128">
        <f>'MFPRSI Supplemental info 2021'!W32</f>
        <v>812480</v>
      </c>
      <c r="F32" s="128">
        <f t="shared" si="0"/>
        <v>874624</v>
      </c>
      <c r="G32" s="128">
        <f t="shared" si="1"/>
        <v>62144</v>
      </c>
      <c r="H32" s="128">
        <f t="shared" si="2"/>
        <v>344367</v>
      </c>
      <c r="I32" s="128">
        <f t="shared" si="3"/>
        <v>344367</v>
      </c>
      <c r="J32" s="128">
        <f t="shared" si="4"/>
        <v>0</v>
      </c>
      <c r="K32" s="122">
        <f t="shared" si="5"/>
        <v>11725</v>
      </c>
      <c r="L32" s="122">
        <f t="shared" si="6"/>
        <v>50419</v>
      </c>
      <c r="M32" s="122">
        <f t="shared" si="7"/>
        <v>0</v>
      </c>
      <c r="N32" s="107"/>
      <c r="O32" s="122">
        <v>135813</v>
      </c>
      <c r="P32" s="128">
        <v>6135</v>
      </c>
      <c r="Q32" s="122">
        <v>1361679</v>
      </c>
      <c r="R32" s="107"/>
      <c r="S32" s="128">
        <v>-2812</v>
      </c>
      <c r="T32" s="122">
        <v>0</v>
      </c>
      <c r="U32" s="128">
        <v>-1387592</v>
      </c>
      <c r="V32" s="107"/>
      <c r="W32" s="128">
        <v>2187087</v>
      </c>
      <c r="X32" s="111"/>
      <c r="Y32" s="128">
        <v>206769</v>
      </c>
      <c r="AA32" s="40"/>
    </row>
    <row r="33" spans="1:27" ht="20.100000000000001" customHeight="1" x14ac:dyDescent="0.25">
      <c r="A33" s="119">
        <v>127</v>
      </c>
      <c r="B33" s="63" t="s">
        <v>130</v>
      </c>
      <c r="C33" s="123">
        <f>'MFPRSI Supplemental info 2021'!D33</f>
        <v>4.9600900000000003E-3</v>
      </c>
      <c r="D33" s="123">
        <v>5.1640399999999999E-3</v>
      </c>
      <c r="E33" s="128">
        <f>'MFPRSI Supplemental info 2021'!W33</f>
        <v>1113908</v>
      </c>
      <c r="F33" s="128">
        <f t="shared" si="0"/>
        <v>1159710</v>
      </c>
      <c r="G33" s="128">
        <f t="shared" si="1"/>
        <v>45802</v>
      </c>
      <c r="H33" s="128">
        <f t="shared" si="2"/>
        <v>456614</v>
      </c>
      <c r="I33" s="128">
        <f t="shared" si="3"/>
        <v>456614</v>
      </c>
      <c r="J33" s="128">
        <f t="shared" si="4"/>
        <v>0</v>
      </c>
      <c r="K33" s="122">
        <f t="shared" si="5"/>
        <v>8642</v>
      </c>
      <c r="L33" s="122">
        <f t="shared" si="6"/>
        <v>37160</v>
      </c>
      <c r="M33" s="122">
        <f t="shared" si="7"/>
        <v>0</v>
      </c>
      <c r="N33" s="107"/>
      <c r="O33" s="122">
        <v>180082</v>
      </c>
      <c r="P33" s="128">
        <v>8135</v>
      </c>
      <c r="Q33" s="122">
        <v>1805521</v>
      </c>
      <c r="R33" s="107"/>
      <c r="S33" s="128">
        <v>-3729</v>
      </c>
      <c r="T33" s="122">
        <v>0</v>
      </c>
      <c r="U33" s="128">
        <v>-1839881</v>
      </c>
      <c r="V33" s="107"/>
      <c r="W33" s="128">
        <v>2899972</v>
      </c>
      <c r="X33" s="111"/>
      <c r="Y33" s="128">
        <v>274165</v>
      </c>
      <c r="AA33" s="40"/>
    </row>
    <row r="34" spans="1:27" ht="20.100000000000001" customHeight="1" x14ac:dyDescent="0.25">
      <c r="A34" s="119">
        <v>128</v>
      </c>
      <c r="B34" s="63" t="s">
        <v>131</v>
      </c>
      <c r="C34" s="123">
        <f>'MFPRSI Supplemental info 2021'!D34</f>
        <v>3.5292200000000003E-2</v>
      </c>
      <c r="D34" s="123">
        <v>3.3790840000000003E-2</v>
      </c>
      <c r="E34" s="128">
        <f>'MFPRSI Supplemental info 2021'!W34</f>
        <v>7925715</v>
      </c>
      <c r="F34" s="128">
        <f t="shared" si="0"/>
        <v>7588549</v>
      </c>
      <c r="G34" s="128">
        <f t="shared" si="1"/>
        <v>-337166</v>
      </c>
      <c r="H34" s="128">
        <f t="shared" si="2"/>
        <v>2987851</v>
      </c>
      <c r="I34" s="128">
        <f t="shared" si="3"/>
        <v>2987851</v>
      </c>
      <c r="J34" s="128">
        <f t="shared" si="4"/>
        <v>0</v>
      </c>
      <c r="K34" s="122">
        <f t="shared" si="5"/>
        <v>-63616</v>
      </c>
      <c r="L34" s="122">
        <f t="shared" si="6"/>
        <v>0</v>
      </c>
      <c r="M34" s="122">
        <f t="shared" si="7"/>
        <v>-273550</v>
      </c>
      <c r="N34" s="107"/>
      <c r="O34" s="122">
        <v>1178362</v>
      </c>
      <c r="P34" s="128">
        <v>53230</v>
      </c>
      <c r="Q34" s="122">
        <v>11814407</v>
      </c>
      <c r="R34" s="107"/>
      <c r="S34" s="128">
        <v>-24400</v>
      </c>
      <c r="T34" s="122">
        <v>0</v>
      </c>
      <c r="U34" s="128">
        <v>-12039239</v>
      </c>
      <c r="V34" s="107"/>
      <c r="W34" s="128">
        <v>18975938</v>
      </c>
      <c r="X34" s="111"/>
      <c r="Y34" s="128">
        <v>1793998</v>
      </c>
      <c r="AA34" s="40"/>
    </row>
    <row r="35" spans="1:27" ht="20.100000000000001" customHeight="1" x14ac:dyDescent="0.25">
      <c r="A35" s="119">
        <v>129</v>
      </c>
      <c r="B35" s="63" t="s">
        <v>132</v>
      </c>
      <c r="C35" s="123">
        <f>'MFPRSI Supplemental info 2021'!D35</f>
        <v>7.7805499999999998E-3</v>
      </c>
      <c r="D35" s="123">
        <v>7.7596899999999996E-3</v>
      </c>
      <c r="E35" s="128">
        <f>'MFPRSI Supplemental info 2021'!W35</f>
        <v>1747310</v>
      </c>
      <c r="F35" s="128">
        <f t="shared" si="0"/>
        <v>1742626</v>
      </c>
      <c r="G35" s="128">
        <f t="shared" si="1"/>
        <v>-4684</v>
      </c>
      <c r="H35" s="128">
        <f t="shared" si="2"/>
        <v>686127</v>
      </c>
      <c r="I35" s="128">
        <f t="shared" si="3"/>
        <v>686127</v>
      </c>
      <c r="J35" s="128">
        <f t="shared" si="4"/>
        <v>0</v>
      </c>
      <c r="K35" s="122">
        <f t="shared" si="5"/>
        <v>-884</v>
      </c>
      <c r="L35" s="122">
        <f t="shared" si="6"/>
        <v>0</v>
      </c>
      <c r="M35" s="122">
        <f t="shared" si="7"/>
        <v>-3800</v>
      </c>
      <c r="N35" s="107"/>
      <c r="O35" s="122">
        <v>270598</v>
      </c>
      <c r="P35" s="128">
        <v>12224</v>
      </c>
      <c r="Q35" s="122">
        <v>2713047</v>
      </c>
      <c r="R35" s="107"/>
      <c r="S35" s="128">
        <v>-5603</v>
      </c>
      <c r="T35" s="122">
        <v>0</v>
      </c>
      <c r="U35" s="128">
        <v>-2764677</v>
      </c>
      <c r="V35" s="107"/>
      <c r="W35" s="128">
        <v>4357613</v>
      </c>
      <c r="X35" s="111"/>
      <c r="Y35" s="128">
        <v>411972</v>
      </c>
      <c r="AA35" s="40"/>
    </row>
    <row r="36" spans="1:27" ht="20.100000000000001" customHeight="1" x14ac:dyDescent="0.25">
      <c r="A36" s="119">
        <v>130</v>
      </c>
      <c r="B36" s="63" t="s">
        <v>133</v>
      </c>
      <c r="C36" s="123">
        <f>'MFPRSI Supplemental info 2021'!D36</f>
        <v>2.4366600000000002E-3</v>
      </c>
      <c r="D36" s="123">
        <v>2.54922E-3</v>
      </c>
      <c r="E36" s="128">
        <f>'MFPRSI Supplemental info 2021'!W36</f>
        <v>547211</v>
      </c>
      <c r="F36" s="128">
        <f t="shared" si="0"/>
        <v>572489</v>
      </c>
      <c r="G36" s="128">
        <f t="shared" si="1"/>
        <v>25278</v>
      </c>
      <c r="H36" s="128">
        <f t="shared" si="2"/>
        <v>225407</v>
      </c>
      <c r="I36" s="128">
        <f t="shared" si="3"/>
        <v>225407</v>
      </c>
      <c r="J36" s="128">
        <f t="shared" si="4"/>
        <v>0</v>
      </c>
      <c r="K36" s="122">
        <f t="shared" si="5"/>
        <v>4769</v>
      </c>
      <c r="L36" s="122">
        <f t="shared" si="6"/>
        <v>20509</v>
      </c>
      <c r="M36" s="122">
        <f t="shared" si="7"/>
        <v>0</v>
      </c>
      <c r="N36" s="107"/>
      <c r="O36" s="122">
        <v>88897</v>
      </c>
      <c r="P36" s="128">
        <v>4016</v>
      </c>
      <c r="Q36" s="122">
        <v>891293</v>
      </c>
      <c r="R36" s="107"/>
      <c r="S36" s="128">
        <v>-1841</v>
      </c>
      <c r="T36" s="122">
        <v>0</v>
      </c>
      <c r="U36" s="128">
        <v>-908254</v>
      </c>
      <c r="V36" s="107"/>
      <c r="W36" s="128">
        <v>1431567</v>
      </c>
      <c r="X36" s="111"/>
      <c r="Y36" s="128">
        <v>135341</v>
      </c>
      <c r="AA36" s="40"/>
    </row>
    <row r="37" spans="1:27" ht="20.100000000000001" customHeight="1" x14ac:dyDescent="0.25">
      <c r="A37" s="119">
        <v>131</v>
      </c>
      <c r="B37" s="67" t="s">
        <v>134</v>
      </c>
      <c r="C37" s="123">
        <f>'MFPRSI Supplemental info 2021'!D37</f>
        <v>3.21813E-3</v>
      </c>
      <c r="D37" s="123">
        <v>3.3665100000000001E-3</v>
      </c>
      <c r="E37" s="128">
        <f>'MFPRSI Supplemental info 2021'!W37</f>
        <v>722709</v>
      </c>
      <c r="F37" s="128">
        <f t="shared" si="0"/>
        <v>756031</v>
      </c>
      <c r="G37" s="128">
        <f t="shared" si="1"/>
        <v>33322</v>
      </c>
      <c r="H37" s="128">
        <f t="shared" si="2"/>
        <v>297673</v>
      </c>
      <c r="I37" s="128">
        <f t="shared" si="3"/>
        <v>297673</v>
      </c>
      <c r="J37" s="128">
        <f t="shared" si="4"/>
        <v>0</v>
      </c>
      <c r="K37" s="122">
        <f t="shared" si="5"/>
        <v>6287</v>
      </c>
      <c r="L37" s="122">
        <f t="shared" si="6"/>
        <v>27035</v>
      </c>
      <c r="M37" s="122">
        <f t="shared" si="7"/>
        <v>0</v>
      </c>
      <c r="N37" s="107"/>
      <c r="O37" s="122">
        <v>117398</v>
      </c>
      <c r="P37" s="128">
        <v>5303</v>
      </c>
      <c r="Q37" s="122">
        <v>1177044</v>
      </c>
      <c r="R37" s="107"/>
      <c r="S37" s="128">
        <v>-2431</v>
      </c>
      <c r="T37" s="122">
        <v>0</v>
      </c>
      <c r="U37" s="128">
        <v>-1199444</v>
      </c>
      <c r="V37" s="107"/>
      <c r="W37" s="128">
        <v>1890533</v>
      </c>
      <c r="X37" s="111"/>
      <c r="Y37" s="128">
        <v>178732</v>
      </c>
      <c r="AA37" s="40"/>
    </row>
    <row r="38" spans="1:27" ht="20.100000000000001" customHeight="1" x14ac:dyDescent="0.25">
      <c r="A38" s="119">
        <v>132</v>
      </c>
      <c r="B38" s="63" t="s">
        <v>135</v>
      </c>
      <c r="C38" s="123">
        <f>'MFPRSI Supplemental info 2021'!D38</f>
        <v>2.08588E-3</v>
      </c>
      <c r="D38" s="123">
        <v>1.96233E-3</v>
      </c>
      <c r="E38" s="128">
        <f>'MFPRSI Supplemental info 2021'!W38</f>
        <v>468435</v>
      </c>
      <c r="F38" s="128">
        <f t="shared" si="0"/>
        <v>440689</v>
      </c>
      <c r="G38" s="128">
        <f t="shared" si="1"/>
        <v>-27746</v>
      </c>
      <c r="H38" s="128">
        <f t="shared" si="2"/>
        <v>173513</v>
      </c>
      <c r="I38" s="128">
        <f t="shared" si="3"/>
        <v>173513</v>
      </c>
      <c r="J38" s="128">
        <f t="shared" si="4"/>
        <v>0</v>
      </c>
      <c r="K38" s="122">
        <f t="shared" si="5"/>
        <v>-5235</v>
      </c>
      <c r="L38" s="122">
        <f t="shared" si="6"/>
        <v>0</v>
      </c>
      <c r="M38" s="122">
        <f t="shared" si="7"/>
        <v>-22511</v>
      </c>
      <c r="N38" s="107"/>
      <c r="O38" s="122">
        <v>68431</v>
      </c>
      <c r="P38" s="128">
        <v>3091</v>
      </c>
      <c r="Q38" s="122">
        <v>686096</v>
      </c>
      <c r="R38" s="107"/>
      <c r="S38" s="128">
        <v>-1417</v>
      </c>
      <c r="T38" s="122">
        <v>0</v>
      </c>
      <c r="U38" s="128">
        <v>-699153</v>
      </c>
      <c r="V38" s="107"/>
      <c r="W38" s="128">
        <v>1101987</v>
      </c>
      <c r="X38" s="111"/>
      <c r="Y38" s="128">
        <v>104183</v>
      </c>
      <c r="AA38" s="40"/>
    </row>
    <row r="39" spans="1:27" ht="20.100000000000001" customHeight="1" x14ac:dyDescent="0.25">
      <c r="A39" s="119">
        <v>133</v>
      </c>
      <c r="B39" s="67" t="s">
        <v>136</v>
      </c>
      <c r="C39" s="123">
        <f>'MFPRSI Supplemental info 2021'!D39</f>
        <v>2.0867239999999999E-2</v>
      </c>
      <c r="D39" s="123">
        <v>2.1043860000000001E-2</v>
      </c>
      <c r="E39" s="128">
        <f>'MFPRSI Supplemental info 2021'!W39</f>
        <v>4686242</v>
      </c>
      <c r="F39" s="128">
        <f t="shared" si="0"/>
        <v>4725907</v>
      </c>
      <c r="G39" s="128">
        <f t="shared" si="1"/>
        <v>39665</v>
      </c>
      <c r="H39" s="128">
        <f t="shared" si="2"/>
        <v>1860738</v>
      </c>
      <c r="I39" s="128">
        <f t="shared" si="3"/>
        <v>1860738</v>
      </c>
      <c r="J39" s="128">
        <f t="shared" si="4"/>
        <v>0</v>
      </c>
      <c r="K39" s="122">
        <f t="shared" si="5"/>
        <v>7484</v>
      </c>
      <c r="L39" s="122">
        <f t="shared" si="6"/>
        <v>32181</v>
      </c>
      <c r="M39" s="122">
        <f t="shared" si="7"/>
        <v>0</v>
      </c>
      <c r="N39" s="107"/>
      <c r="O39" s="122">
        <v>733846</v>
      </c>
      <c r="P39" s="128">
        <v>33150</v>
      </c>
      <c r="Q39" s="122">
        <v>7357637</v>
      </c>
      <c r="R39" s="107"/>
      <c r="S39" s="128">
        <v>-15196</v>
      </c>
      <c r="T39" s="122">
        <v>0</v>
      </c>
      <c r="U39" s="128">
        <v>-7497655</v>
      </c>
      <c r="V39" s="107"/>
      <c r="W39" s="128">
        <v>11817610</v>
      </c>
      <c r="X39" s="111"/>
      <c r="Y39" s="128">
        <v>1117245</v>
      </c>
      <c r="AA39" s="40"/>
    </row>
    <row r="40" spans="1:27" ht="20.100000000000001" customHeight="1" x14ac:dyDescent="0.25">
      <c r="A40" s="119">
        <v>134</v>
      </c>
      <c r="B40" s="63" t="s">
        <v>137</v>
      </c>
      <c r="C40" s="123">
        <f>'MFPRSI Supplemental info 2021'!D40</f>
        <v>1.4776950000000001E-2</v>
      </c>
      <c r="D40" s="123">
        <v>1.399066E-2</v>
      </c>
      <c r="E40" s="128">
        <f>'MFPRSI Supplemental info 2021'!W40</f>
        <v>3318521</v>
      </c>
      <c r="F40" s="128">
        <f t="shared" si="0"/>
        <v>3141940</v>
      </c>
      <c r="G40" s="128">
        <f t="shared" si="1"/>
        <v>-176581</v>
      </c>
      <c r="H40" s="128">
        <f t="shared" si="2"/>
        <v>1237081</v>
      </c>
      <c r="I40" s="128">
        <f t="shared" si="3"/>
        <v>1237081</v>
      </c>
      <c r="J40" s="128">
        <f t="shared" si="4"/>
        <v>0</v>
      </c>
      <c r="K40" s="122">
        <f t="shared" si="5"/>
        <v>-33317</v>
      </c>
      <c r="L40" s="122">
        <f t="shared" si="6"/>
        <v>0</v>
      </c>
      <c r="M40" s="122">
        <f t="shared" si="7"/>
        <v>-143264</v>
      </c>
      <c r="N40" s="107"/>
      <c r="O40" s="122">
        <v>487885</v>
      </c>
      <c r="P40" s="128">
        <v>22039</v>
      </c>
      <c r="Q40" s="122">
        <v>4891602</v>
      </c>
      <c r="R40" s="107"/>
      <c r="S40" s="128">
        <v>-10103</v>
      </c>
      <c r="T40" s="122">
        <v>0</v>
      </c>
      <c r="U40" s="128">
        <v>-4984691</v>
      </c>
      <c r="V40" s="107"/>
      <c r="W40" s="128">
        <v>7856742</v>
      </c>
      <c r="X40" s="111"/>
      <c r="Y40" s="128">
        <v>742781</v>
      </c>
      <c r="AA40" s="40"/>
    </row>
    <row r="41" spans="1:27" ht="20.100000000000001" customHeight="1" x14ac:dyDescent="0.25">
      <c r="A41" s="119">
        <v>135</v>
      </c>
      <c r="B41" s="67" t="s">
        <v>138</v>
      </c>
      <c r="C41" s="123">
        <f>'MFPRSI Supplemental info 2021'!D41</f>
        <v>1.8536449999999999E-2</v>
      </c>
      <c r="D41" s="123">
        <v>1.8622719999999999E-2</v>
      </c>
      <c r="E41" s="128">
        <f>'MFPRSI Supplemental info 2021'!W41</f>
        <v>4162807</v>
      </c>
      <c r="F41" s="128">
        <f t="shared" si="0"/>
        <v>4182181</v>
      </c>
      <c r="G41" s="128">
        <f t="shared" si="1"/>
        <v>19374</v>
      </c>
      <c r="H41" s="128">
        <f t="shared" si="2"/>
        <v>1646656</v>
      </c>
      <c r="I41" s="128">
        <f t="shared" si="3"/>
        <v>1646656</v>
      </c>
      <c r="J41" s="128">
        <f t="shared" si="4"/>
        <v>0</v>
      </c>
      <c r="K41" s="122">
        <f t="shared" si="5"/>
        <v>3655</v>
      </c>
      <c r="L41" s="122">
        <f t="shared" si="6"/>
        <v>15719</v>
      </c>
      <c r="M41" s="122">
        <f t="shared" si="7"/>
        <v>0</v>
      </c>
      <c r="N41" s="107"/>
      <c r="O41" s="122">
        <v>649416</v>
      </c>
      <c r="P41" s="128">
        <v>29336</v>
      </c>
      <c r="Q41" s="122">
        <v>6511125</v>
      </c>
      <c r="R41" s="107"/>
      <c r="S41" s="128">
        <v>-13448</v>
      </c>
      <c r="T41" s="122">
        <v>0</v>
      </c>
      <c r="U41" s="128">
        <v>-6635034</v>
      </c>
      <c r="V41" s="107"/>
      <c r="W41" s="128">
        <v>10457970</v>
      </c>
      <c r="X41" s="111"/>
      <c r="Y41" s="128">
        <v>988703</v>
      </c>
      <c r="AA41" s="40"/>
    </row>
    <row r="42" spans="1:27" ht="20.100000000000001" customHeight="1" x14ac:dyDescent="0.25">
      <c r="A42" s="119">
        <v>136</v>
      </c>
      <c r="B42" s="67" t="s">
        <v>139</v>
      </c>
      <c r="C42" s="123">
        <f>'MFPRSI Supplemental info 2021'!D42</f>
        <v>1.7925969999999999E-2</v>
      </c>
      <c r="D42" s="123">
        <v>1.8019009999999999E-2</v>
      </c>
      <c r="E42" s="128">
        <f>'MFPRSI Supplemental info 2021'!W42</f>
        <v>4025709</v>
      </c>
      <c r="F42" s="128">
        <f t="shared" si="0"/>
        <v>4046604</v>
      </c>
      <c r="G42" s="128">
        <f t="shared" si="1"/>
        <v>20895</v>
      </c>
      <c r="H42" s="128">
        <f t="shared" si="2"/>
        <v>1593275</v>
      </c>
      <c r="I42" s="128">
        <f t="shared" si="3"/>
        <v>1593275</v>
      </c>
      <c r="J42" s="128">
        <f t="shared" si="4"/>
        <v>0</v>
      </c>
      <c r="K42" s="122">
        <f t="shared" si="5"/>
        <v>3942</v>
      </c>
      <c r="L42" s="122">
        <f t="shared" si="6"/>
        <v>16953</v>
      </c>
      <c r="M42" s="122">
        <f t="shared" si="7"/>
        <v>0</v>
      </c>
      <c r="N42" s="107"/>
      <c r="O42" s="122">
        <v>628363</v>
      </c>
      <c r="P42" s="128">
        <v>28385</v>
      </c>
      <c r="Q42" s="122">
        <v>6300048</v>
      </c>
      <c r="R42" s="107"/>
      <c r="S42" s="128">
        <v>-13012</v>
      </c>
      <c r="T42" s="122">
        <v>0</v>
      </c>
      <c r="U42" s="128">
        <v>-6419940</v>
      </c>
      <c r="V42" s="107"/>
      <c r="W42" s="128">
        <v>10118944</v>
      </c>
      <c r="X42" s="111"/>
      <c r="Y42" s="128">
        <v>956652</v>
      </c>
      <c r="AA42" s="40"/>
    </row>
    <row r="43" spans="1:27" ht="20.100000000000001" customHeight="1" x14ac:dyDescent="0.25">
      <c r="A43" s="119">
        <v>137</v>
      </c>
      <c r="B43" s="67" t="s">
        <v>140</v>
      </c>
      <c r="C43" s="123">
        <f>'MFPRSI Supplemental info 2021'!D43</f>
        <v>1.1017320000000001E-2</v>
      </c>
      <c r="D43" s="123">
        <v>1.0814610000000001E-2</v>
      </c>
      <c r="E43" s="128">
        <f>'MFPRSI Supplemental info 2021'!W43</f>
        <v>2474205</v>
      </c>
      <c r="F43" s="128">
        <f t="shared" si="0"/>
        <v>2428682</v>
      </c>
      <c r="G43" s="128">
        <f t="shared" si="1"/>
        <v>-45523</v>
      </c>
      <c r="H43" s="128">
        <f t="shared" si="2"/>
        <v>956248</v>
      </c>
      <c r="I43" s="128">
        <f t="shared" si="3"/>
        <v>956248</v>
      </c>
      <c r="J43" s="128">
        <f t="shared" si="4"/>
        <v>0</v>
      </c>
      <c r="K43" s="122">
        <f t="shared" si="5"/>
        <v>-8589</v>
      </c>
      <c r="L43" s="122">
        <f t="shared" si="6"/>
        <v>0</v>
      </c>
      <c r="M43" s="122">
        <f t="shared" si="7"/>
        <v>-36934</v>
      </c>
      <c r="N43" s="107"/>
      <c r="O43" s="122">
        <v>377129</v>
      </c>
      <c r="P43" s="128">
        <v>17036</v>
      </c>
      <c r="Q43" s="122">
        <v>3781149</v>
      </c>
      <c r="R43" s="107"/>
      <c r="S43" s="128">
        <v>-7809</v>
      </c>
      <c r="T43" s="122">
        <v>0</v>
      </c>
      <c r="U43" s="128">
        <v>-3853106</v>
      </c>
      <c r="V43" s="107"/>
      <c r="W43" s="128">
        <v>6073166</v>
      </c>
      <c r="X43" s="111"/>
      <c r="Y43" s="128">
        <v>574161</v>
      </c>
      <c r="AA43" s="40"/>
    </row>
    <row r="44" spans="1:27" ht="20.100000000000001" customHeight="1" x14ac:dyDescent="0.25">
      <c r="A44" s="119">
        <v>138</v>
      </c>
      <c r="B44" s="67" t="s">
        <v>141</v>
      </c>
      <c r="C44" s="123">
        <f>'MFPRSI Supplemental info 2021'!D44</f>
        <v>2.0675899999999998E-3</v>
      </c>
      <c r="D44" s="123">
        <v>2.0178499999999999E-3</v>
      </c>
      <c r="E44" s="128">
        <f>'MFPRSI Supplemental info 2021'!W44</f>
        <v>464327</v>
      </c>
      <c r="F44" s="128">
        <f t="shared" si="0"/>
        <v>453157</v>
      </c>
      <c r="G44" s="128">
        <f t="shared" si="1"/>
        <v>-11170</v>
      </c>
      <c r="H44" s="128">
        <f t="shared" si="2"/>
        <v>178422</v>
      </c>
      <c r="I44" s="128">
        <f t="shared" si="3"/>
        <v>178422</v>
      </c>
      <c r="J44" s="128">
        <f t="shared" si="4"/>
        <v>0</v>
      </c>
      <c r="K44" s="122">
        <f t="shared" si="5"/>
        <v>-2108</v>
      </c>
      <c r="L44" s="122">
        <f t="shared" si="6"/>
        <v>0</v>
      </c>
      <c r="M44" s="122">
        <f t="shared" si="7"/>
        <v>-9062</v>
      </c>
      <c r="N44" s="107"/>
      <c r="O44" s="122">
        <v>70367</v>
      </c>
      <c r="P44" s="128">
        <v>3179</v>
      </c>
      <c r="Q44" s="122">
        <v>705508</v>
      </c>
      <c r="R44" s="107"/>
      <c r="S44" s="128">
        <v>-1457</v>
      </c>
      <c r="T44" s="122">
        <v>0</v>
      </c>
      <c r="U44" s="128">
        <v>-718934</v>
      </c>
      <c r="V44" s="107"/>
      <c r="W44" s="128">
        <v>1133165</v>
      </c>
      <c r="X44" s="111"/>
      <c r="Y44" s="128">
        <v>107130</v>
      </c>
      <c r="AA44" s="40"/>
    </row>
    <row r="45" spans="1:27" ht="20.100000000000001" customHeight="1" x14ac:dyDescent="0.25">
      <c r="A45" s="119">
        <v>139</v>
      </c>
      <c r="B45" s="63" t="s">
        <v>142</v>
      </c>
      <c r="C45" s="123">
        <f>'MFPRSI Supplemental info 2021'!D45</f>
        <v>3.8533700000000001E-3</v>
      </c>
      <c r="D45" s="123">
        <v>4.0301699999999996E-3</v>
      </c>
      <c r="E45" s="128">
        <f>'MFPRSI Supplemental info 2021'!W45</f>
        <v>865367</v>
      </c>
      <c r="F45" s="128">
        <f t="shared" si="0"/>
        <v>905072</v>
      </c>
      <c r="G45" s="128">
        <f t="shared" si="1"/>
        <v>39705</v>
      </c>
      <c r="H45" s="128">
        <f t="shared" si="2"/>
        <v>356355</v>
      </c>
      <c r="I45" s="128">
        <f t="shared" si="3"/>
        <v>356355</v>
      </c>
      <c r="J45" s="128">
        <f t="shared" si="4"/>
        <v>0</v>
      </c>
      <c r="K45" s="122">
        <f t="shared" si="5"/>
        <v>7492</v>
      </c>
      <c r="L45" s="122">
        <f t="shared" si="6"/>
        <v>32213</v>
      </c>
      <c r="M45" s="122">
        <f t="shared" si="7"/>
        <v>0</v>
      </c>
      <c r="N45" s="107"/>
      <c r="O45" s="122">
        <v>140541</v>
      </c>
      <c r="P45" s="128">
        <v>6349</v>
      </c>
      <c r="Q45" s="122">
        <v>1409082</v>
      </c>
      <c r="R45" s="107"/>
      <c r="S45" s="128">
        <v>-2910</v>
      </c>
      <c r="T45" s="122">
        <v>0</v>
      </c>
      <c r="U45" s="128">
        <v>-1435897</v>
      </c>
      <c r="V45" s="107"/>
      <c r="W45" s="128">
        <v>2263224</v>
      </c>
      <c r="X45" s="111"/>
      <c r="Y45" s="128">
        <v>213967</v>
      </c>
      <c r="AA45" s="40"/>
    </row>
    <row r="46" spans="1:27" ht="20.100000000000001" customHeight="1" x14ac:dyDescent="0.25">
      <c r="A46" s="119">
        <v>140</v>
      </c>
      <c r="B46" s="67" t="s">
        <v>143</v>
      </c>
      <c r="C46" s="123">
        <f>'MFPRSI Supplemental info 2021'!D46</f>
        <v>1.374033E-2</v>
      </c>
      <c r="D46" s="123">
        <v>1.3922250000000001E-2</v>
      </c>
      <c r="E46" s="128">
        <f>'MFPRSI Supplemental info 2021'!W46</f>
        <v>3085723</v>
      </c>
      <c r="F46" s="128">
        <f t="shared" si="0"/>
        <v>3126577</v>
      </c>
      <c r="G46" s="128">
        <f t="shared" si="1"/>
        <v>40854</v>
      </c>
      <c r="H46" s="128">
        <f t="shared" si="2"/>
        <v>1231032</v>
      </c>
      <c r="I46" s="128">
        <f t="shared" si="3"/>
        <v>1231032</v>
      </c>
      <c r="J46" s="128">
        <f t="shared" si="4"/>
        <v>0</v>
      </c>
      <c r="K46" s="122">
        <f t="shared" si="5"/>
        <v>7708</v>
      </c>
      <c r="L46" s="122">
        <f t="shared" si="6"/>
        <v>33146</v>
      </c>
      <c r="M46" s="122">
        <f t="shared" si="7"/>
        <v>0</v>
      </c>
      <c r="N46" s="107"/>
      <c r="O46" s="122">
        <v>485500</v>
      </c>
      <c r="P46" s="128">
        <v>21931</v>
      </c>
      <c r="Q46" s="122">
        <v>4867684</v>
      </c>
      <c r="R46" s="107"/>
      <c r="S46" s="128">
        <v>-10053</v>
      </c>
      <c r="T46" s="122">
        <v>0</v>
      </c>
      <c r="U46" s="128">
        <v>-4960318</v>
      </c>
      <c r="V46" s="107"/>
      <c r="W46" s="128">
        <v>7818325</v>
      </c>
      <c r="X46" s="111"/>
      <c r="Y46" s="128">
        <v>739150</v>
      </c>
      <c r="AA46" s="40"/>
    </row>
    <row r="47" spans="1:27" ht="20.100000000000001" customHeight="1" x14ac:dyDescent="0.25">
      <c r="A47" s="119">
        <v>141</v>
      </c>
      <c r="B47" s="68" t="s">
        <v>144</v>
      </c>
      <c r="C47" s="123">
        <f>'MFPRSI Supplemental info 2021'!D47</f>
        <v>3.8266400000000001E-3</v>
      </c>
      <c r="D47" s="123">
        <v>3.82833E-3</v>
      </c>
      <c r="E47" s="128">
        <f>'MFPRSI Supplemental info 2021'!W47</f>
        <v>859364</v>
      </c>
      <c r="F47" s="128">
        <f t="shared" si="0"/>
        <v>859744</v>
      </c>
      <c r="G47" s="128">
        <f t="shared" si="1"/>
        <v>380</v>
      </c>
      <c r="H47" s="128">
        <f t="shared" si="2"/>
        <v>338508</v>
      </c>
      <c r="I47" s="128">
        <f t="shared" si="3"/>
        <v>338508</v>
      </c>
      <c r="J47" s="128">
        <f t="shared" si="4"/>
        <v>0</v>
      </c>
      <c r="K47" s="122">
        <f t="shared" si="5"/>
        <v>72</v>
      </c>
      <c r="L47" s="122">
        <f t="shared" si="6"/>
        <v>308</v>
      </c>
      <c r="M47" s="122">
        <f t="shared" si="7"/>
        <v>0</v>
      </c>
      <c r="N47" s="107"/>
      <c r="O47" s="122">
        <v>133502</v>
      </c>
      <c r="P47" s="128">
        <v>6031</v>
      </c>
      <c r="Q47" s="122">
        <v>1338512</v>
      </c>
      <c r="R47" s="107"/>
      <c r="S47" s="128">
        <v>-2764</v>
      </c>
      <c r="T47" s="122">
        <v>0</v>
      </c>
      <c r="U47" s="128">
        <v>-1363984</v>
      </c>
      <c r="V47" s="107"/>
      <c r="W47" s="128">
        <v>2149877</v>
      </c>
      <c r="X47" s="111"/>
      <c r="Y47" s="128">
        <v>203251</v>
      </c>
      <c r="AA47" s="40"/>
    </row>
    <row r="48" spans="1:27" ht="20.100000000000001" customHeight="1" x14ac:dyDescent="0.25">
      <c r="A48" s="119">
        <v>142</v>
      </c>
      <c r="B48" s="63" t="s">
        <v>145</v>
      </c>
      <c r="C48" s="123">
        <f>'MFPRSI Supplemental info 2021'!D48</f>
        <v>6.1435749999999997E-2</v>
      </c>
      <c r="D48" s="123">
        <v>6.1897260000000003E-2</v>
      </c>
      <c r="E48" s="128">
        <f>'MFPRSI Supplemental info 2021'!W48</f>
        <v>13796880</v>
      </c>
      <c r="F48" s="128">
        <f t="shared" si="0"/>
        <v>13900524</v>
      </c>
      <c r="G48" s="128">
        <f t="shared" si="1"/>
        <v>103644</v>
      </c>
      <c r="H48" s="128">
        <f t="shared" si="2"/>
        <v>5473074</v>
      </c>
      <c r="I48" s="128">
        <f t="shared" si="3"/>
        <v>5473074</v>
      </c>
      <c r="J48" s="128">
        <f t="shared" si="4"/>
        <v>0</v>
      </c>
      <c r="K48" s="122">
        <f t="shared" si="5"/>
        <v>19555</v>
      </c>
      <c r="L48" s="122">
        <f t="shared" si="6"/>
        <v>84089</v>
      </c>
      <c r="M48" s="122">
        <f t="shared" si="7"/>
        <v>0</v>
      </c>
      <c r="N48" s="107"/>
      <c r="O48" s="122">
        <v>2158495</v>
      </c>
      <c r="P48" s="128">
        <v>97505</v>
      </c>
      <c r="Q48" s="122">
        <v>21641351</v>
      </c>
      <c r="R48" s="107"/>
      <c r="S48" s="128">
        <v>-44696</v>
      </c>
      <c r="T48" s="122">
        <v>0</v>
      </c>
      <c r="U48" s="128">
        <v>-22053193</v>
      </c>
      <c r="V48" s="107"/>
      <c r="W48" s="128">
        <v>34759674</v>
      </c>
      <c r="X48" s="111"/>
      <c r="Y48" s="128">
        <v>3286202</v>
      </c>
      <c r="AA48" s="40"/>
    </row>
    <row r="49" spans="1:27" ht="20.100000000000001" customHeight="1" x14ac:dyDescent="0.25">
      <c r="A49" s="119">
        <v>143</v>
      </c>
      <c r="B49" s="63" t="s">
        <v>146</v>
      </c>
      <c r="C49" s="123">
        <f>'MFPRSI Supplemental info 2021'!D49</f>
        <v>4.8958500000000002E-3</v>
      </c>
      <c r="D49" s="123">
        <v>5.1801699999999996E-3</v>
      </c>
      <c r="E49" s="128">
        <f>'MFPRSI Supplemental info 2021'!W49</f>
        <v>1099481</v>
      </c>
      <c r="F49" s="128">
        <f t="shared" si="0"/>
        <v>1163332</v>
      </c>
      <c r="G49" s="128">
        <f t="shared" si="1"/>
        <v>63851</v>
      </c>
      <c r="H49" s="128">
        <f t="shared" si="2"/>
        <v>458041</v>
      </c>
      <c r="I49" s="128">
        <f t="shared" si="3"/>
        <v>458041</v>
      </c>
      <c r="J49" s="128">
        <f t="shared" si="4"/>
        <v>0</v>
      </c>
      <c r="K49" s="122">
        <f t="shared" si="5"/>
        <v>12047</v>
      </c>
      <c r="L49" s="122">
        <f t="shared" si="6"/>
        <v>51804</v>
      </c>
      <c r="M49" s="122">
        <f t="shared" si="7"/>
        <v>0</v>
      </c>
      <c r="N49" s="107"/>
      <c r="O49" s="122">
        <v>180644</v>
      </c>
      <c r="P49" s="128">
        <v>8160</v>
      </c>
      <c r="Q49" s="122">
        <v>1811161</v>
      </c>
      <c r="R49" s="107"/>
      <c r="S49" s="128">
        <v>-3741</v>
      </c>
      <c r="T49" s="122">
        <v>0</v>
      </c>
      <c r="U49" s="128">
        <v>-1845628</v>
      </c>
      <c r="V49" s="107"/>
      <c r="W49" s="128">
        <v>2909031</v>
      </c>
      <c r="X49" s="111"/>
      <c r="Y49" s="128">
        <v>275022</v>
      </c>
      <c r="AA49" s="40"/>
    </row>
    <row r="50" spans="1:27" ht="20.100000000000001" customHeight="1" x14ac:dyDescent="0.25">
      <c r="A50" s="119">
        <v>144</v>
      </c>
      <c r="B50" s="63" t="s">
        <v>147</v>
      </c>
      <c r="C50" s="123">
        <f>'MFPRSI Supplemental info 2021'!D50</f>
        <v>4.03069E-3</v>
      </c>
      <c r="D50" s="123">
        <v>4.2561999999999999E-3</v>
      </c>
      <c r="E50" s="128">
        <f>'MFPRSI Supplemental info 2021'!W50</f>
        <v>905189</v>
      </c>
      <c r="F50" s="128">
        <f t="shared" si="0"/>
        <v>955832</v>
      </c>
      <c r="G50" s="128">
        <f t="shared" si="1"/>
        <v>50643</v>
      </c>
      <c r="H50" s="128">
        <f t="shared" si="2"/>
        <v>376341</v>
      </c>
      <c r="I50" s="128">
        <f t="shared" si="3"/>
        <v>376341</v>
      </c>
      <c r="J50" s="128">
        <f t="shared" si="4"/>
        <v>0</v>
      </c>
      <c r="K50" s="122">
        <f t="shared" si="5"/>
        <v>9555</v>
      </c>
      <c r="L50" s="122">
        <f t="shared" si="6"/>
        <v>41088</v>
      </c>
      <c r="M50" s="122">
        <f t="shared" si="7"/>
        <v>0</v>
      </c>
      <c r="N50" s="107"/>
      <c r="O50" s="122">
        <v>148423</v>
      </c>
      <c r="P50" s="128">
        <v>6705</v>
      </c>
      <c r="Q50" s="122">
        <v>1488110</v>
      </c>
      <c r="R50" s="107"/>
      <c r="S50" s="128">
        <v>-3073</v>
      </c>
      <c r="T50" s="122">
        <v>0</v>
      </c>
      <c r="U50" s="128">
        <v>-1516429</v>
      </c>
      <c r="V50" s="107"/>
      <c r="W50" s="128">
        <v>2390156</v>
      </c>
      <c r="X50" s="111"/>
      <c r="Y50" s="128">
        <v>225967</v>
      </c>
      <c r="AA50" s="40"/>
    </row>
    <row r="51" spans="1:27" ht="20.100000000000001" customHeight="1" x14ac:dyDescent="0.25">
      <c r="A51" s="119">
        <v>145</v>
      </c>
      <c r="B51" s="63" t="s">
        <v>148</v>
      </c>
      <c r="C51" s="123">
        <f>'MFPRSI Supplemental info 2021'!D51</f>
        <v>2.383443E-2</v>
      </c>
      <c r="D51" s="123">
        <v>2.4744470000000001E-2</v>
      </c>
      <c r="E51" s="128">
        <f>'MFPRSI Supplemental info 2021'!W51</f>
        <v>5352597</v>
      </c>
      <c r="F51" s="128">
        <f t="shared" si="0"/>
        <v>5556968</v>
      </c>
      <c r="G51" s="128">
        <f t="shared" si="1"/>
        <v>204371</v>
      </c>
      <c r="H51" s="128">
        <f t="shared" si="2"/>
        <v>2187953</v>
      </c>
      <c r="I51" s="128">
        <f t="shared" si="3"/>
        <v>2187953</v>
      </c>
      <c r="J51" s="128">
        <f t="shared" si="4"/>
        <v>0</v>
      </c>
      <c r="K51" s="122">
        <f t="shared" si="5"/>
        <v>38561</v>
      </c>
      <c r="L51" s="122">
        <f t="shared" si="6"/>
        <v>165810</v>
      </c>
      <c r="M51" s="122">
        <f t="shared" si="7"/>
        <v>0</v>
      </c>
      <c r="N51" s="107"/>
      <c r="O51" s="122">
        <v>862895</v>
      </c>
      <c r="P51" s="128">
        <v>38979</v>
      </c>
      <c r="Q51" s="122">
        <v>8651494</v>
      </c>
      <c r="R51" s="107"/>
      <c r="S51" s="128">
        <v>-17868</v>
      </c>
      <c r="T51" s="122">
        <v>0</v>
      </c>
      <c r="U51" s="128">
        <v>-8816135</v>
      </c>
      <c r="V51" s="107"/>
      <c r="W51" s="128">
        <v>13895764</v>
      </c>
      <c r="X51" s="111"/>
      <c r="Y51" s="128">
        <v>1313715</v>
      </c>
      <c r="AA51" s="40"/>
    </row>
    <row r="52" spans="1:27" ht="20.100000000000001" customHeight="1" x14ac:dyDescent="0.25">
      <c r="A52" s="119">
        <v>146</v>
      </c>
      <c r="B52" s="63" t="s">
        <v>149</v>
      </c>
      <c r="C52" s="123">
        <f>'MFPRSI Supplemental info 2021'!D52</f>
        <v>5.5056309999999997E-2</v>
      </c>
      <c r="D52" s="123">
        <v>5.481954E-2</v>
      </c>
      <c r="E52" s="128">
        <f>'MFPRSI Supplemental info 2021'!W52</f>
        <v>12364223</v>
      </c>
      <c r="F52" s="128">
        <f t="shared" si="0"/>
        <v>12311051</v>
      </c>
      <c r="G52" s="128">
        <f t="shared" si="1"/>
        <v>-53172</v>
      </c>
      <c r="H52" s="128">
        <f t="shared" si="2"/>
        <v>4847248</v>
      </c>
      <c r="I52" s="128">
        <f t="shared" si="3"/>
        <v>4847248</v>
      </c>
      <c r="J52" s="128">
        <f t="shared" si="4"/>
        <v>0</v>
      </c>
      <c r="K52" s="122">
        <f t="shared" si="5"/>
        <v>-10032</v>
      </c>
      <c r="L52" s="122">
        <f t="shared" si="6"/>
        <v>0</v>
      </c>
      <c r="M52" s="122">
        <f t="shared" si="7"/>
        <v>-43140</v>
      </c>
      <c r="N52" s="107"/>
      <c r="O52" s="122">
        <v>1911679</v>
      </c>
      <c r="P52" s="128">
        <v>86356</v>
      </c>
      <c r="Q52" s="122">
        <v>19166744</v>
      </c>
      <c r="R52" s="107"/>
      <c r="S52" s="128">
        <v>-39585</v>
      </c>
      <c r="T52" s="122">
        <v>0</v>
      </c>
      <c r="U52" s="128">
        <v>-19531493</v>
      </c>
      <c r="V52" s="107"/>
      <c r="W52" s="128">
        <v>30785035</v>
      </c>
      <c r="X52" s="111"/>
      <c r="Y52" s="128">
        <v>2910437</v>
      </c>
      <c r="AA52" s="40"/>
    </row>
    <row r="53" spans="1:27" ht="20.100000000000001" customHeight="1" x14ac:dyDescent="0.25">
      <c r="A53" s="119">
        <v>147</v>
      </c>
      <c r="B53" s="63" t="s">
        <v>150</v>
      </c>
      <c r="C53" s="123">
        <f>'MFPRSI Supplemental info 2021'!D53</f>
        <v>3.4069399999999998E-3</v>
      </c>
      <c r="D53" s="123">
        <v>3.6596200000000001E-3</v>
      </c>
      <c r="E53" s="128">
        <f>'MFPRSI Supplemental info 2021'!W53</f>
        <v>765111</v>
      </c>
      <c r="F53" s="128">
        <f t="shared" si="0"/>
        <v>821856</v>
      </c>
      <c r="G53" s="128">
        <f t="shared" si="1"/>
        <v>56745</v>
      </c>
      <c r="H53" s="128">
        <f t="shared" si="2"/>
        <v>323591</v>
      </c>
      <c r="I53" s="128">
        <f t="shared" si="3"/>
        <v>323591</v>
      </c>
      <c r="J53" s="128">
        <f t="shared" si="4"/>
        <v>0</v>
      </c>
      <c r="K53" s="122">
        <f t="shared" si="5"/>
        <v>10707</v>
      </c>
      <c r="L53" s="122">
        <f t="shared" si="6"/>
        <v>46038</v>
      </c>
      <c r="M53" s="122">
        <f t="shared" si="7"/>
        <v>0</v>
      </c>
      <c r="N53" s="107"/>
      <c r="O53" s="122">
        <v>127619</v>
      </c>
      <c r="P53" s="128">
        <v>5765</v>
      </c>
      <c r="Q53" s="122">
        <v>1279525</v>
      </c>
      <c r="R53" s="107"/>
      <c r="S53" s="128">
        <v>-2643</v>
      </c>
      <c r="T53" s="122">
        <v>0</v>
      </c>
      <c r="U53" s="128">
        <v>-1303875</v>
      </c>
      <c r="V53" s="107"/>
      <c r="W53" s="128">
        <v>2055135</v>
      </c>
      <c r="X53" s="111"/>
      <c r="Y53" s="128">
        <v>194294</v>
      </c>
      <c r="AA53" s="40"/>
    </row>
    <row r="54" spans="1:27" ht="20.100000000000001" customHeight="1" x14ac:dyDescent="0.25">
      <c r="A54" s="119">
        <v>148</v>
      </c>
      <c r="B54" s="63" t="s">
        <v>151</v>
      </c>
      <c r="C54" s="123">
        <f>'MFPRSI Supplemental info 2021'!D54</f>
        <v>3.1094500000000001E-3</v>
      </c>
      <c r="D54" s="123">
        <v>3.2436000000000001E-3</v>
      </c>
      <c r="E54" s="128">
        <f>'MFPRSI Supplemental info 2021'!W54</f>
        <v>698302</v>
      </c>
      <c r="F54" s="128">
        <f t="shared" si="0"/>
        <v>728429</v>
      </c>
      <c r="G54" s="128">
        <f t="shared" si="1"/>
        <v>30127</v>
      </c>
      <c r="H54" s="128">
        <f t="shared" si="2"/>
        <v>286805</v>
      </c>
      <c r="I54" s="128">
        <f t="shared" si="3"/>
        <v>286805</v>
      </c>
      <c r="J54" s="128">
        <f t="shared" si="4"/>
        <v>0</v>
      </c>
      <c r="K54" s="122">
        <f t="shared" si="5"/>
        <v>5684</v>
      </c>
      <c r="L54" s="122">
        <f t="shared" si="6"/>
        <v>24443</v>
      </c>
      <c r="M54" s="122">
        <f t="shared" si="7"/>
        <v>0</v>
      </c>
      <c r="N54" s="107"/>
      <c r="O54" s="122">
        <v>113112</v>
      </c>
      <c r="P54" s="128">
        <v>5110</v>
      </c>
      <c r="Q54" s="122">
        <v>1134071</v>
      </c>
      <c r="R54" s="107"/>
      <c r="S54" s="128">
        <v>-2342</v>
      </c>
      <c r="T54" s="122">
        <v>0</v>
      </c>
      <c r="U54" s="128">
        <v>-1155653</v>
      </c>
      <c r="V54" s="107"/>
      <c r="W54" s="128">
        <v>1821510</v>
      </c>
      <c r="X54" s="111"/>
      <c r="Y54" s="128">
        <v>172207</v>
      </c>
      <c r="AA54" s="40"/>
    </row>
    <row r="55" spans="1:27" ht="19.5" customHeight="1" x14ac:dyDescent="0.25">
      <c r="A55" s="119">
        <v>149</v>
      </c>
      <c r="B55" s="63" t="s">
        <v>152</v>
      </c>
      <c r="C55" s="123">
        <f>'MFPRSI Supplemental info 2021'!D55</f>
        <v>3.8633500000000001E-2</v>
      </c>
      <c r="D55" s="123">
        <v>3.9357250000000003E-2</v>
      </c>
      <c r="E55" s="128">
        <f>'MFPRSI Supplemental info 2021'!W55</f>
        <v>8676085</v>
      </c>
      <c r="F55" s="128">
        <f>ROUND($E$57*D55,0)</f>
        <v>8838620</v>
      </c>
      <c r="G55" s="128">
        <f t="shared" si="1"/>
        <v>162535</v>
      </c>
      <c r="H55" s="128">
        <f t="shared" si="2"/>
        <v>3480043</v>
      </c>
      <c r="I55" s="128">
        <f t="shared" si="3"/>
        <v>3480043</v>
      </c>
      <c r="J55" s="128">
        <f t="shared" si="4"/>
        <v>0</v>
      </c>
      <c r="K55" s="122">
        <f t="shared" si="5"/>
        <v>30667</v>
      </c>
      <c r="L55" s="122">
        <f t="shared" si="6"/>
        <v>131868</v>
      </c>
      <c r="M55" s="122">
        <f t="shared" si="7"/>
        <v>0</v>
      </c>
      <c r="N55" s="107"/>
      <c r="O55" s="122">
        <v>1372475</v>
      </c>
      <c r="P55" s="128">
        <v>61998</v>
      </c>
      <c r="Q55" s="122">
        <v>13760610</v>
      </c>
      <c r="R55" s="107"/>
      <c r="S55" s="128">
        <v>-28420</v>
      </c>
      <c r="T55" s="122">
        <v>0</v>
      </c>
      <c r="U55" s="128">
        <v>-14022479</v>
      </c>
      <c r="V55" s="107"/>
      <c r="W55" s="128">
        <v>22101870</v>
      </c>
      <c r="X55" s="111"/>
      <c r="Y55" s="128">
        <v>2089525</v>
      </c>
      <c r="AA55" s="40"/>
    </row>
    <row r="56" spans="1:27" x14ac:dyDescent="0.25">
      <c r="A56" s="106"/>
      <c r="B56" s="107"/>
      <c r="C56" s="110"/>
      <c r="D56" s="108"/>
      <c r="E56" s="112"/>
      <c r="F56" s="108"/>
      <c r="G56" s="108"/>
      <c r="H56" s="108"/>
      <c r="I56" s="108"/>
      <c r="J56" s="108"/>
      <c r="K56" s="107"/>
      <c r="L56" s="107"/>
      <c r="M56" s="107"/>
      <c r="N56" s="107"/>
      <c r="O56" s="107"/>
      <c r="P56" s="109"/>
      <c r="Q56" s="107"/>
      <c r="R56" s="107"/>
      <c r="S56" s="107"/>
      <c r="T56" s="107"/>
      <c r="U56" s="111"/>
      <c r="V56" s="107"/>
      <c r="W56" s="109"/>
      <c r="X56" s="109"/>
      <c r="Y56" s="111"/>
    </row>
    <row r="57" spans="1:27" x14ac:dyDescent="0.25">
      <c r="A57" s="106"/>
      <c r="B57" s="68"/>
      <c r="C57" s="131">
        <f t="shared" ref="C57:D57" si="8">SUM(C7:C56)</f>
        <v>0.99999996999999974</v>
      </c>
      <c r="D57" s="131">
        <f t="shared" si="8"/>
        <v>1.0000000200000003</v>
      </c>
      <c r="E57" s="128">
        <f>SUM(E7:E56)+E61</f>
        <v>224574135</v>
      </c>
      <c r="F57" s="128">
        <f>SUM(F7:F56)+F61</f>
        <v>224574135</v>
      </c>
      <c r="G57" s="128">
        <f>SUM(G7:G56)+G61</f>
        <v>0</v>
      </c>
      <c r="H57" s="128">
        <f>SUM(H7:H56)+H61</f>
        <v>88421910</v>
      </c>
      <c r="I57" s="132">
        <f>SUM(I7:I56)+I61</f>
        <v>88421910</v>
      </c>
      <c r="J57" s="121">
        <f>SUM(J7:J56)</f>
        <v>0</v>
      </c>
      <c r="K57" s="49">
        <f>SUM(K7:K55)</f>
        <v>0</v>
      </c>
      <c r="L57" s="128">
        <f t="shared" ref="L57" si="9">SUM(L7:L56)</f>
        <v>2005603</v>
      </c>
      <c r="M57" s="128">
        <f>SUM(M7:M56)</f>
        <v>-2005598</v>
      </c>
      <c r="N57" s="107"/>
      <c r="O57" s="128">
        <f>SUM(O7:O56)</f>
        <v>34872222</v>
      </c>
      <c r="P57" s="128">
        <f>SUM(P7:P56)</f>
        <v>1575272</v>
      </c>
      <c r="Q57" s="128">
        <f>SUM(Q7:Q56)</f>
        <v>349633431</v>
      </c>
      <c r="R57" s="107"/>
      <c r="S57" s="128">
        <f>SUM(S7:S56)+S61</f>
        <v>-722102</v>
      </c>
      <c r="T57" s="128">
        <f>SUM(T7:T56)+T61</f>
        <v>0</v>
      </c>
      <c r="U57" s="128">
        <f>SUM(U7:U56)+U61</f>
        <v>-356287062</v>
      </c>
      <c r="V57" s="111"/>
      <c r="W57" s="128">
        <f>SUM(W7:W56)+W61</f>
        <v>561570476</v>
      </c>
      <c r="X57" s="111"/>
      <c r="Y57" s="128">
        <f>SUM(Y7:Y56)+Y61</f>
        <v>53091240</v>
      </c>
      <c r="AA57" s="40"/>
    </row>
    <row r="58" spans="1:27" x14ac:dyDescent="0.25">
      <c r="A58" s="106"/>
      <c r="B58" s="68"/>
      <c r="C58" s="131"/>
      <c r="D58" s="131"/>
      <c r="E58" s="128"/>
      <c r="F58" s="128"/>
      <c r="G58" s="121"/>
      <c r="H58" s="132"/>
      <c r="I58" s="121"/>
      <c r="J58" s="121"/>
      <c r="K58" s="121"/>
      <c r="L58" s="128"/>
      <c r="M58" s="128"/>
      <c r="N58" s="107"/>
      <c r="O58" s="111"/>
      <c r="P58" s="111"/>
      <c r="Q58" s="111"/>
      <c r="R58" s="107"/>
      <c r="S58" s="111"/>
      <c r="T58" s="111"/>
      <c r="U58" s="111"/>
      <c r="V58" s="111"/>
      <c r="W58" s="111"/>
      <c r="X58" s="111"/>
      <c r="Y58" s="111"/>
    </row>
    <row r="59" spans="1:27" x14ac:dyDescent="0.25">
      <c r="A59" s="106"/>
      <c r="B59" s="68"/>
      <c r="C59" s="123"/>
      <c r="D59" s="121"/>
      <c r="E59" s="128"/>
      <c r="F59" s="128"/>
      <c r="G59" s="121"/>
      <c r="H59" s="121"/>
      <c r="I59" s="121"/>
      <c r="J59" s="121"/>
      <c r="K59" s="121"/>
      <c r="L59" s="128"/>
      <c r="M59" s="128"/>
      <c r="N59" s="107"/>
      <c r="O59" s="130" t="s">
        <v>60</v>
      </c>
      <c r="P59" s="68"/>
      <c r="Q59" s="131"/>
      <c r="R59" s="131"/>
      <c r="S59" s="132"/>
      <c r="T59" s="132"/>
      <c r="U59" s="121">
        <v>5.3</v>
      </c>
      <c r="V59" s="133" t="s">
        <v>61</v>
      </c>
      <c r="W59" s="128"/>
      <c r="X59" s="111"/>
      <c r="Y59" s="111"/>
    </row>
    <row r="60" spans="1:27" x14ac:dyDescent="0.25">
      <c r="A60" s="106"/>
      <c r="B60" s="68"/>
      <c r="C60" s="123"/>
      <c r="D60" s="121"/>
      <c r="E60" s="68"/>
      <c r="F60" s="68"/>
      <c r="G60" s="121"/>
      <c r="H60" s="121"/>
      <c r="I60" s="121"/>
      <c r="J60" s="121"/>
      <c r="K60" s="68"/>
      <c r="L60" s="68"/>
      <c r="M60" s="68"/>
      <c r="N60" s="107"/>
      <c r="O60" s="130" t="s">
        <v>196</v>
      </c>
      <c r="P60" s="122"/>
      <c r="Q60" s="68"/>
      <c r="R60" s="68"/>
      <c r="S60" s="68"/>
      <c r="T60" s="68"/>
      <c r="U60" s="134">
        <v>88421910</v>
      </c>
      <c r="V60" s="107"/>
      <c r="W60" s="107"/>
      <c r="X60" s="107"/>
      <c r="Y60" s="107"/>
    </row>
    <row r="61" spans="1:27" x14ac:dyDescent="0.25">
      <c r="A61" s="106"/>
      <c r="B61" s="68" t="s">
        <v>153</v>
      </c>
      <c r="C61" s="123"/>
      <c r="D61" s="121"/>
      <c r="E61" s="68">
        <v>0</v>
      </c>
      <c r="F61" s="68">
        <v>-5</v>
      </c>
      <c r="G61" s="121">
        <v>-5</v>
      </c>
      <c r="H61" s="121">
        <v>-2</v>
      </c>
      <c r="I61" s="121">
        <v>-2</v>
      </c>
      <c r="J61" s="121"/>
      <c r="K61" s="68">
        <v>0</v>
      </c>
      <c r="L61" s="68"/>
      <c r="M61" s="68"/>
      <c r="N61" s="107"/>
      <c r="O61" s="107"/>
      <c r="P61" s="109"/>
      <c r="Q61" s="107"/>
      <c r="R61" s="107"/>
      <c r="S61" s="68">
        <v>0</v>
      </c>
      <c r="T61" s="68">
        <v>0</v>
      </c>
      <c r="U61" s="128">
        <v>0</v>
      </c>
      <c r="V61" s="68"/>
      <c r="W61" s="68">
        <v>0</v>
      </c>
      <c r="X61" s="68"/>
      <c r="Y61" s="68">
        <v>0</v>
      </c>
    </row>
  </sheetData>
  <mergeCells count="3">
    <mergeCell ref="K3:M3"/>
    <mergeCell ref="O3:Q3"/>
    <mergeCell ref="S3:U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C6086-045F-44E2-9934-1D055D59BA24}">
  <dimension ref="A1:AA61"/>
  <sheetViews>
    <sheetView workbookViewId="0">
      <pane xSplit="2" ySplit="6" topLeftCell="C37" activePane="bottomRight" state="frozen"/>
      <selection pane="topRight" activeCell="C1" sqref="C1"/>
      <selection pane="bottomLeft" activeCell="A7" sqref="A7"/>
      <selection pane="bottomRight" activeCell="C40" sqref="C40"/>
    </sheetView>
  </sheetViews>
  <sheetFormatPr defaultRowHeight="15" x14ac:dyDescent="0.25"/>
  <cols>
    <col min="1" max="1" width="3.5703125" style="46" bestFit="1" customWidth="1"/>
    <col min="2" max="2" width="15" style="50" bestFit="1" customWidth="1"/>
    <col min="3" max="3" width="10.7109375" style="85" bestFit="1" customWidth="1"/>
    <col min="4" max="4" width="10.7109375" style="90" bestFit="1" customWidth="1"/>
    <col min="5" max="5" width="11.140625" style="90" bestFit="1" customWidth="1"/>
    <col min="6" max="6" width="10.7109375" style="90" bestFit="1" customWidth="1"/>
    <col min="7" max="7" width="9.7109375" style="90" bestFit="1" customWidth="1"/>
    <col min="8" max="9" width="9.85546875" style="90" bestFit="1" customWidth="1"/>
    <col min="10" max="10" width="11.140625" style="90" customWidth="1"/>
    <col min="11" max="11" width="8.7109375" style="50" bestFit="1" customWidth="1"/>
    <col min="12" max="12" width="9.28515625" style="50" bestFit="1" customWidth="1"/>
    <col min="13" max="13" width="9.7109375" style="50" bestFit="1" customWidth="1"/>
    <col min="14" max="14" width="0.85546875" style="50" customWidth="1"/>
    <col min="15" max="15" width="10.7109375" style="50" bestFit="1" customWidth="1"/>
    <col min="16" max="16" width="12.42578125" style="51" bestFit="1" customWidth="1"/>
    <col min="17" max="17" width="10.7109375" style="50" customWidth="1"/>
    <col min="18" max="18" width="2.28515625" style="50" customWidth="1"/>
    <col min="19" max="19" width="10.7109375" style="50" bestFit="1" customWidth="1"/>
    <col min="20" max="20" width="11.7109375" style="50" customWidth="1"/>
    <col min="21" max="21" width="12.7109375" style="50" bestFit="1" customWidth="1"/>
    <col min="22" max="22" width="2.28515625" style="50" customWidth="1"/>
    <col min="23" max="23" width="12.7109375" style="50" bestFit="1" customWidth="1"/>
    <col min="24" max="24" width="2.28515625" style="50" customWidth="1"/>
    <col min="25" max="25" width="11.140625" style="50" bestFit="1" customWidth="1"/>
    <col min="27" max="27" width="12.5703125" bestFit="1" customWidth="1"/>
  </cols>
  <sheetData>
    <row r="1" spans="1:27" x14ac:dyDescent="0.25">
      <c r="A1" s="119"/>
      <c r="B1" s="68"/>
      <c r="C1" s="120" t="s">
        <v>157</v>
      </c>
      <c r="D1" s="121"/>
      <c r="E1" s="121"/>
      <c r="F1" s="121"/>
      <c r="G1" s="121"/>
      <c r="H1" s="121"/>
      <c r="I1" s="121"/>
      <c r="J1" s="121"/>
      <c r="K1" s="68"/>
      <c r="L1" s="68"/>
      <c r="M1" s="68"/>
      <c r="N1" s="68"/>
      <c r="O1" s="120" t="s">
        <v>158</v>
      </c>
      <c r="P1" s="122"/>
      <c r="Q1" s="68"/>
      <c r="R1" s="68"/>
      <c r="S1" s="68"/>
      <c r="T1" s="68"/>
      <c r="U1" s="68"/>
      <c r="V1" s="68"/>
      <c r="W1" s="68"/>
      <c r="X1" s="68"/>
      <c r="Y1" s="68"/>
    </row>
    <row r="2" spans="1:27" x14ac:dyDescent="0.25">
      <c r="A2" s="119"/>
      <c r="B2" s="68"/>
      <c r="C2" s="123"/>
      <c r="D2" s="121"/>
      <c r="E2" s="121"/>
      <c r="F2" s="121"/>
      <c r="G2" s="121"/>
      <c r="H2" s="121"/>
      <c r="I2" s="121"/>
      <c r="J2" s="121"/>
      <c r="K2" s="68"/>
      <c r="L2" s="68"/>
      <c r="M2" s="68"/>
      <c r="N2" s="68"/>
      <c r="O2" s="68"/>
      <c r="P2" s="122"/>
      <c r="Q2" s="68"/>
      <c r="R2" s="68"/>
      <c r="S2" s="68"/>
      <c r="T2" s="68"/>
      <c r="U2" s="68"/>
      <c r="V2" s="68"/>
      <c r="W2" s="68"/>
      <c r="X2" s="68"/>
      <c r="Y2" s="68"/>
    </row>
    <row r="3" spans="1:27" x14ac:dyDescent="0.25">
      <c r="A3" s="119"/>
      <c r="B3" s="68"/>
      <c r="C3" s="123"/>
      <c r="D3" s="121"/>
      <c r="E3" s="121"/>
      <c r="F3" s="121"/>
      <c r="G3" s="121"/>
      <c r="H3" s="115" t="s">
        <v>78</v>
      </c>
      <c r="I3" s="121"/>
      <c r="J3" s="121"/>
      <c r="K3" s="168" t="s">
        <v>79</v>
      </c>
      <c r="L3" s="168"/>
      <c r="M3" s="168"/>
      <c r="N3" s="68"/>
      <c r="O3" s="169" t="s">
        <v>27</v>
      </c>
      <c r="P3" s="169"/>
      <c r="Q3" s="169"/>
      <c r="R3" s="68"/>
      <c r="S3" s="169" t="s">
        <v>30</v>
      </c>
      <c r="T3" s="169"/>
      <c r="U3" s="169"/>
      <c r="V3" s="68"/>
      <c r="W3" s="68"/>
      <c r="X3" s="68"/>
      <c r="Y3" s="68"/>
    </row>
    <row r="4" spans="1:27" x14ac:dyDescent="0.25">
      <c r="A4" s="119"/>
      <c r="B4" s="68"/>
      <c r="C4" s="113">
        <v>44012</v>
      </c>
      <c r="D4" s="113">
        <v>44377</v>
      </c>
      <c r="E4" s="113">
        <v>44012</v>
      </c>
      <c r="F4" s="121"/>
      <c r="G4" s="115" t="s">
        <v>80</v>
      </c>
      <c r="H4" s="115" t="s">
        <v>49</v>
      </c>
      <c r="I4" s="115" t="s">
        <v>49</v>
      </c>
      <c r="J4" s="115" t="s">
        <v>81</v>
      </c>
      <c r="K4" s="68"/>
      <c r="L4" s="68"/>
      <c r="M4" s="68"/>
      <c r="N4" s="68"/>
      <c r="O4" s="115" t="s">
        <v>82</v>
      </c>
      <c r="P4" s="122"/>
      <c r="Q4" s="115" t="s">
        <v>83</v>
      </c>
      <c r="R4" s="115"/>
      <c r="S4" s="115" t="s">
        <v>82</v>
      </c>
      <c r="T4" s="68"/>
      <c r="U4" s="115" t="s">
        <v>83</v>
      </c>
      <c r="V4" s="115"/>
      <c r="W4" s="115" t="s">
        <v>159</v>
      </c>
      <c r="X4" s="115"/>
      <c r="Y4" s="119" t="s">
        <v>84</v>
      </c>
    </row>
    <row r="5" spans="1:27" x14ac:dyDescent="0.25">
      <c r="A5" s="119" t="s">
        <v>154</v>
      </c>
      <c r="B5" s="68"/>
      <c r="C5" s="114" t="s">
        <v>85</v>
      </c>
      <c r="D5" s="114" t="s">
        <v>85</v>
      </c>
      <c r="E5" s="115" t="s">
        <v>86</v>
      </c>
      <c r="F5" s="115" t="s">
        <v>87</v>
      </c>
      <c r="G5" s="115" t="s">
        <v>85</v>
      </c>
      <c r="H5" s="115" t="s">
        <v>88</v>
      </c>
      <c r="I5" s="115" t="s">
        <v>88</v>
      </c>
      <c r="J5" s="115" t="s">
        <v>89</v>
      </c>
      <c r="K5" s="115" t="s">
        <v>90</v>
      </c>
      <c r="L5" s="119" t="s">
        <v>91</v>
      </c>
      <c r="M5" s="119" t="s">
        <v>91</v>
      </c>
      <c r="N5" s="68"/>
      <c r="O5" s="119" t="s">
        <v>92</v>
      </c>
      <c r="P5" s="124" t="s">
        <v>160</v>
      </c>
      <c r="Q5" s="119" t="s">
        <v>92</v>
      </c>
      <c r="R5" s="119"/>
      <c r="S5" s="119" t="s">
        <v>92</v>
      </c>
      <c r="T5" s="115" t="s">
        <v>160</v>
      </c>
      <c r="U5" s="119" t="s">
        <v>92</v>
      </c>
      <c r="V5" s="119"/>
      <c r="W5" s="115" t="s">
        <v>87</v>
      </c>
      <c r="X5" s="115"/>
      <c r="Y5" s="119" t="s">
        <v>90</v>
      </c>
    </row>
    <row r="6" spans="1:27" ht="20.100000000000001" customHeight="1" x14ac:dyDescent="0.35">
      <c r="A6" s="125" t="s">
        <v>155</v>
      </c>
      <c r="B6" s="57" t="s">
        <v>93</v>
      </c>
      <c r="C6" s="116" t="s">
        <v>94</v>
      </c>
      <c r="D6" s="116" t="s">
        <v>94</v>
      </c>
      <c r="E6" s="117" t="s">
        <v>95</v>
      </c>
      <c r="F6" s="118">
        <v>44012</v>
      </c>
      <c r="G6" s="117" t="s">
        <v>96</v>
      </c>
      <c r="H6" s="117" t="s">
        <v>97</v>
      </c>
      <c r="I6" s="117" t="s">
        <v>97</v>
      </c>
      <c r="J6" s="117" t="s">
        <v>98</v>
      </c>
      <c r="K6" s="117" t="s">
        <v>56</v>
      </c>
      <c r="L6" s="117" t="s">
        <v>99</v>
      </c>
      <c r="M6" s="126" t="s">
        <v>100</v>
      </c>
      <c r="N6" s="68"/>
      <c r="O6" s="126" t="s">
        <v>101</v>
      </c>
      <c r="P6" s="127" t="s">
        <v>102</v>
      </c>
      <c r="Q6" s="126" t="s">
        <v>103</v>
      </c>
      <c r="R6" s="126"/>
      <c r="S6" s="126" t="s">
        <v>101</v>
      </c>
      <c r="T6" s="126" t="s">
        <v>102</v>
      </c>
      <c r="U6" s="126" t="s">
        <v>103</v>
      </c>
      <c r="V6" s="126"/>
      <c r="W6" s="118">
        <v>44377</v>
      </c>
      <c r="X6" s="118"/>
      <c r="Y6" s="126" t="s">
        <v>56</v>
      </c>
    </row>
    <row r="7" spans="1:27" ht="20.100000000000001" customHeight="1" x14ac:dyDescent="0.25">
      <c r="A7" s="119">
        <v>101</v>
      </c>
      <c r="B7" s="63" t="s">
        <v>104</v>
      </c>
      <c r="C7" s="123">
        <f>'MFPRSI Supplemental info 2020'!D7</f>
        <v>2.6775948776529022E-2</v>
      </c>
      <c r="D7" s="123">
        <v>2.675493E-2</v>
      </c>
      <c r="E7" s="128">
        <f>'MFPRSI Supplemental info 2020'!W7</f>
        <v>21356506</v>
      </c>
      <c r="F7" s="128">
        <f>ROUND($E$57*D7,0)</f>
        <v>21339740</v>
      </c>
      <c r="G7" s="128">
        <f>F7-E7</f>
        <v>-16766</v>
      </c>
      <c r="H7" s="128">
        <f>ROUND(D7*$U$60,0)</f>
        <v>2200482</v>
      </c>
      <c r="I7" s="128">
        <f>H7</f>
        <v>2200482</v>
      </c>
      <c r="J7" s="128">
        <f>H7-I7</f>
        <v>0</v>
      </c>
      <c r="K7" s="122">
        <f>ROUND((G7+J7)/$U$59,0)</f>
        <v>-3163</v>
      </c>
      <c r="L7" s="129">
        <f>IF(K7&lt;0,0,G7+J7-K7)</f>
        <v>0</v>
      </c>
      <c r="M7" s="122">
        <f>IF(G7&lt;0,(G7+J7-K7),0)</f>
        <v>-13603</v>
      </c>
      <c r="N7" s="107"/>
      <c r="O7" s="122">
        <v>696967</v>
      </c>
      <c r="P7" s="128">
        <v>226293</v>
      </c>
      <c r="Q7" s="122">
        <v>2686606</v>
      </c>
      <c r="R7" s="107"/>
      <c r="S7" s="128">
        <v>-67619</v>
      </c>
      <c r="T7" s="122">
        <v>0</v>
      </c>
      <c r="U7" s="128">
        <v>-12726017</v>
      </c>
      <c r="V7" s="107"/>
      <c r="W7" s="128">
        <v>6008465</v>
      </c>
      <c r="X7" s="111"/>
      <c r="Y7" s="128">
        <v>166264</v>
      </c>
      <c r="AA7" s="40"/>
    </row>
    <row r="8" spans="1:27" ht="20.100000000000001" customHeight="1" x14ac:dyDescent="0.25">
      <c r="A8" s="119">
        <v>102</v>
      </c>
      <c r="B8" s="63" t="s">
        <v>105</v>
      </c>
      <c r="C8" s="123">
        <f>'MFPRSI Supplemental info 2020'!D8</f>
        <v>2.5630790612156864E-2</v>
      </c>
      <c r="D8" s="123">
        <v>2.6951550000000001E-2</v>
      </c>
      <c r="E8" s="128">
        <f>'MFPRSI Supplemental info 2020'!W8</f>
        <v>20443126</v>
      </c>
      <c r="F8" s="128">
        <f t="shared" ref="F8:F54" si="0">ROUND($E$57*D8,0)</f>
        <v>21496564</v>
      </c>
      <c r="G8" s="128">
        <f t="shared" ref="G8:G55" si="1">F8-E8</f>
        <v>1053438</v>
      </c>
      <c r="H8" s="128">
        <f t="shared" ref="H8:H55" si="2">ROUND(D8*$U$60,0)</f>
        <v>2216653</v>
      </c>
      <c r="I8" s="128">
        <f t="shared" ref="I8:I55" si="3">H8</f>
        <v>2216653</v>
      </c>
      <c r="J8" s="128">
        <f t="shared" ref="J8:J55" si="4">H8-I8</f>
        <v>0</v>
      </c>
      <c r="K8" s="122">
        <f t="shared" ref="K8:K55" si="5">ROUND((G8+J8)/$U$59,0)</f>
        <v>198762</v>
      </c>
      <c r="L8" s="122">
        <f t="shared" ref="L8:L55" si="6">IF(K8&lt;0,0,G8+J8-K8)</f>
        <v>854676</v>
      </c>
      <c r="M8" s="122">
        <f t="shared" ref="M8:M55" si="7">IF(G8&lt;0,(G8+J8-K8),0)</f>
        <v>0</v>
      </c>
      <c r="N8" s="107"/>
      <c r="O8" s="122">
        <v>702089</v>
      </c>
      <c r="P8" s="128">
        <v>227956</v>
      </c>
      <c r="Q8" s="122">
        <v>2706350</v>
      </c>
      <c r="R8" s="107"/>
      <c r="S8" s="128">
        <v>-68116</v>
      </c>
      <c r="T8" s="122">
        <v>0</v>
      </c>
      <c r="U8" s="128">
        <v>-12819540</v>
      </c>
      <c r="V8" s="107"/>
      <c r="W8" s="128">
        <v>6052621</v>
      </c>
      <c r="X8" s="111"/>
      <c r="Y8" s="128">
        <v>167485</v>
      </c>
      <c r="AA8" s="40"/>
    </row>
    <row r="9" spans="1:27" ht="20.100000000000001" customHeight="1" x14ac:dyDescent="0.25">
      <c r="A9" s="119">
        <v>103</v>
      </c>
      <c r="B9" s="63" t="s">
        <v>106</v>
      </c>
      <c r="C9" s="123">
        <f>'MFPRSI Supplemental info 2020'!D9</f>
        <v>1.8736719898416739E-2</v>
      </c>
      <c r="D9" s="123">
        <v>1.910042E-2</v>
      </c>
      <c r="E9" s="128">
        <f>'MFPRSI Supplemental info 2020'!W9</f>
        <v>14944413</v>
      </c>
      <c r="F9" s="128">
        <f t="shared" si="0"/>
        <v>15234501</v>
      </c>
      <c r="G9" s="128">
        <f t="shared" si="1"/>
        <v>290088</v>
      </c>
      <c r="H9" s="128">
        <f t="shared" si="2"/>
        <v>1570930</v>
      </c>
      <c r="I9" s="128">
        <f t="shared" si="3"/>
        <v>1570930</v>
      </c>
      <c r="J9" s="128">
        <f t="shared" si="4"/>
        <v>0</v>
      </c>
      <c r="K9" s="122">
        <f t="shared" si="5"/>
        <v>54734</v>
      </c>
      <c r="L9" s="122">
        <f t="shared" si="6"/>
        <v>235354</v>
      </c>
      <c r="M9" s="122">
        <f t="shared" si="7"/>
        <v>0</v>
      </c>
      <c r="N9" s="107"/>
      <c r="O9" s="122">
        <v>497567</v>
      </c>
      <c r="P9" s="128">
        <v>161551</v>
      </c>
      <c r="Q9" s="122">
        <v>1917976</v>
      </c>
      <c r="R9" s="107"/>
      <c r="S9" s="128">
        <v>-48274</v>
      </c>
      <c r="T9" s="122">
        <v>0</v>
      </c>
      <c r="U9" s="128">
        <v>-9085140</v>
      </c>
      <c r="V9" s="107"/>
      <c r="W9" s="128">
        <v>4289460</v>
      </c>
      <c r="X9" s="111"/>
      <c r="Y9" s="128">
        <v>118696</v>
      </c>
      <c r="AA9" s="40"/>
    </row>
    <row r="10" spans="1:27" ht="20.100000000000001" customHeight="1" x14ac:dyDescent="0.25">
      <c r="A10" s="119">
        <v>104</v>
      </c>
      <c r="B10" s="63" t="s">
        <v>107</v>
      </c>
      <c r="C10" s="123">
        <f>'MFPRSI Supplemental info 2020'!D10</f>
        <v>5.4124388504510363E-3</v>
      </c>
      <c r="D10" s="123">
        <v>5.5416199999999997E-3</v>
      </c>
      <c r="E10" s="128">
        <f>'MFPRSI Supplemental info 2020'!W10</f>
        <v>4316964</v>
      </c>
      <c r="F10" s="128">
        <f t="shared" si="0"/>
        <v>4419998</v>
      </c>
      <c r="G10" s="128">
        <f t="shared" si="1"/>
        <v>103034</v>
      </c>
      <c r="H10" s="128">
        <f t="shared" si="2"/>
        <v>455775</v>
      </c>
      <c r="I10" s="128">
        <f t="shared" si="3"/>
        <v>455775</v>
      </c>
      <c r="J10" s="128">
        <f t="shared" si="4"/>
        <v>0</v>
      </c>
      <c r="K10" s="122">
        <f t="shared" si="5"/>
        <v>19440</v>
      </c>
      <c r="L10" s="122">
        <f t="shared" si="6"/>
        <v>83594</v>
      </c>
      <c r="M10" s="122">
        <f t="shared" si="7"/>
        <v>0</v>
      </c>
      <c r="N10" s="107"/>
      <c r="O10" s="122">
        <v>144360</v>
      </c>
      <c r="P10" s="128">
        <v>46871</v>
      </c>
      <c r="Q10" s="122">
        <v>556464</v>
      </c>
      <c r="R10" s="107"/>
      <c r="S10" s="128">
        <v>-14006</v>
      </c>
      <c r="T10" s="122">
        <v>0</v>
      </c>
      <c r="U10" s="128">
        <v>-2635879</v>
      </c>
      <c r="V10" s="107"/>
      <c r="W10" s="128">
        <v>1244505</v>
      </c>
      <c r="X10" s="111"/>
      <c r="Y10" s="128">
        <v>34437</v>
      </c>
      <c r="AA10" s="40"/>
    </row>
    <row r="11" spans="1:27" ht="20.100000000000001" customHeight="1" x14ac:dyDescent="0.25">
      <c r="A11" s="119">
        <v>105</v>
      </c>
      <c r="B11" s="63" t="s">
        <v>108</v>
      </c>
      <c r="C11" s="123">
        <f>'MFPRSI Supplemental info 2020'!D11</f>
        <v>1.8295329708484777E-2</v>
      </c>
      <c r="D11" s="123">
        <v>1.854316E-2</v>
      </c>
      <c r="E11" s="128">
        <f>'MFPRSI Supplemental info 2020'!W11</f>
        <v>14592361</v>
      </c>
      <c r="F11" s="128">
        <f t="shared" si="0"/>
        <v>14790030</v>
      </c>
      <c r="G11" s="128">
        <f t="shared" si="1"/>
        <v>197669</v>
      </c>
      <c r="H11" s="128">
        <f t="shared" si="2"/>
        <v>1525098</v>
      </c>
      <c r="I11" s="128">
        <f t="shared" si="3"/>
        <v>1525098</v>
      </c>
      <c r="J11" s="128">
        <f t="shared" si="4"/>
        <v>0</v>
      </c>
      <c r="K11" s="122">
        <f t="shared" si="5"/>
        <v>37296</v>
      </c>
      <c r="L11" s="122">
        <f t="shared" si="6"/>
        <v>160373</v>
      </c>
      <c r="M11" s="122">
        <f t="shared" si="7"/>
        <v>0</v>
      </c>
      <c r="N11" s="107"/>
      <c r="O11" s="122">
        <v>483050</v>
      </c>
      <c r="P11" s="128">
        <v>156838</v>
      </c>
      <c r="Q11" s="122">
        <v>1862018</v>
      </c>
      <c r="R11" s="107"/>
      <c r="S11" s="128">
        <v>-46865</v>
      </c>
      <c r="T11" s="122">
        <v>0</v>
      </c>
      <c r="U11" s="128">
        <v>-8820078</v>
      </c>
      <c r="V11" s="107"/>
      <c r="W11" s="128">
        <v>4164314</v>
      </c>
      <c r="X11" s="111"/>
      <c r="Y11" s="128">
        <v>115233</v>
      </c>
      <c r="AA11" s="40"/>
    </row>
    <row r="12" spans="1:27" ht="20.100000000000001" customHeight="1" x14ac:dyDescent="0.25">
      <c r="A12" s="119">
        <v>106</v>
      </c>
      <c r="B12" s="63" t="s">
        <v>109</v>
      </c>
      <c r="C12" s="123">
        <f>'MFPRSI Supplemental info 2020'!D12</f>
        <v>2.5275390838164981E-3</v>
      </c>
      <c r="D12" s="123">
        <v>2.9950599999999999E-3</v>
      </c>
      <c r="E12" s="128">
        <f>'MFPRSI Supplemental info 2020'!W12</f>
        <v>2015967</v>
      </c>
      <c r="F12" s="128">
        <f t="shared" si="0"/>
        <v>2388861</v>
      </c>
      <c r="G12" s="128">
        <f t="shared" si="1"/>
        <v>372894</v>
      </c>
      <c r="H12" s="128">
        <f t="shared" si="2"/>
        <v>246331</v>
      </c>
      <c r="I12" s="128">
        <f t="shared" si="3"/>
        <v>246331</v>
      </c>
      <c r="J12" s="128">
        <f t="shared" si="4"/>
        <v>0</v>
      </c>
      <c r="K12" s="122">
        <f t="shared" si="5"/>
        <v>70357</v>
      </c>
      <c r="L12" s="122">
        <f t="shared" si="6"/>
        <v>302537</v>
      </c>
      <c r="M12" s="122">
        <f t="shared" si="7"/>
        <v>0</v>
      </c>
      <c r="N12" s="107"/>
      <c r="O12" s="122">
        <v>78021</v>
      </c>
      <c r="P12" s="128">
        <v>25332</v>
      </c>
      <c r="Q12" s="122">
        <v>300750</v>
      </c>
      <c r="R12" s="107"/>
      <c r="S12" s="128">
        <v>-7570</v>
      </c>
      <c r="T12" s="122">
        <v>0</v>
      </c>
      <c r="U12" s="128">
        <v>-1424604</v>
      </c>
      <c r="V12" s="107"/>
      <c r="W12" s="128">
        <v>672613</v>
      </c>
      <c r="X12" s="111"/>
      <c r="Y12" s="128">
        <v>18612</v>
      </c>
      <c r="AA12" s="40"/>
    </row>
    <row r="13" spans="1:27" ht="20.100000000000001" customHeight="1" x14ac:dyDescent="0.25">
      <c r="A13" s="119">
        <v>107</v>
      </c>
      <c r="B13" s="63" t="s">
        <v>110</v>
      </c>
      <c r="C13" s="123">
        <f>'MFPRSI Supplemental info 2020'!D13</f>
        <v>2.9244295482520884E-3</v>
      </c>
      <c r="D13" s="123">
        <v>2.8070399999999998E-3</v>
      </c>
      <c r="E13" s="128">
        <f>'MFPRSI Supplemental info 2020'!W13</f>
        <v>2332526</v>
      </c>
      <c r="F13" s="128">
        <f t="shared" si="0"/>
        <v>2238896</v>
      </c>
      <c r="G13" s="128">
        <f t="shared" si="1"/>
        <v>-93630</v>
      </c>
      <c r="H13" s="128">
        <f t="shared" si="2"/>
        <v>230867</v>
      </c>
      <c r="I13" s="128">
        <f t="shared" si="3"/>
        <v>230867</v>
      </c>
      <c r="J13" s="128">
        <f t="shared" si="4"/>
        <v>0</v>
      </c>
      <c r="K13" s="122">
        <f t="shared" si="5"/>
        <v>-17666</v>
      </c>
      <c r="L13" s="122">
        <f t="shared" si="6"/>
        <v>0</v>
      </c>
      <c r="M13" s="122">
        <f t="shared" si="7"/>
        <v>-75964</v>
      </c>
      <c r="N13" s="107"/>
      <c r="O13" s="122">
        <v>73124</v>
      </c>
      <c r="P13" s="128">
        <v>23742</v>
      </c>
      <c r="Q13" s="122">
        <v>281870</v>
      </c>
      <c r="R13" s="107"/>
      <c r="S13" s="128">
        <v>-7094</v>
      </c>
      <c r="T13" s="122">
        <v>0</v>
      </c>
      <c r="U13" s="128">
        <v>-1335172</v>
      </c>
      <c r="V13" s="107"/>
      <c r="W13" s="128">
        <v>630389</v>
      </c>
      <c r="X13" s="111"/>
      <c r="Y13" s="128">
        <v>17444</v>
      </c>
      <c r="AA13" s="40"/>
    </row>
    <row r="14" spans="1:27" ht="20.100000000000001" customHeight="1" x14ac:dyDescent="0.25">
      <c r="A14" s="119">
        <v>108</v>
      </c>
      <c r="B14" s="63" t="s">
        <v>111</v>
      </c>
      <c r="C14" s="123">
        <f>'MFPRSI Supplemental info 2020'!D14</f>
        <v>1.8599289461696693E-2</v>
      </c>
      <c r="D14" s="123">
        <v>1.7572129999999998E-2</v>
      </c>
      <c r="E14" s="128">
        <f>'MFPRSI Supplemental info 2020'!W14</f>
        <v>14834799</v>
      </c>
      <c r="F14" s="128">
        <f t="shared" si="0"/>
        <v>14015536</v>
      </c>
      <c r="G14" s="128">
        <f t="shared" si="1"/>
        <v>-819263</v>
      </c>
      <c r="H14" s="128">
        <f t="shared" si="2"/>
        <v>1445235</v>
      </c>
      <c r="I14" s="128">
        <f t="shared" si="3"/>
        <v>1445235</v>
      </c>
      <c r="J14" s="128">
        <f t="shared" si="4"/>
        <v>0</v>
      </c>
      <c r="K14" s="122">
        <f t="shared" si="5"/>
        <v>-154578</v>
      </c>
      <c r="L14" s="122">
        <f t="shared" si="6"/>
        <v>0</v>
      </c>
      <c r="M14" s="122">
        <f t="shared" si="7"/>
        <v>-664685</v>
      </c>
      <c r="N14" s="107"/>
      <c r="O14" s="122">
        <v>457755</v>
      </c>
      <c r="P14" s="128">
        <v>148625</v>
      </c>
      <c r="Q14" s="122">
        <v>1764512</v>
      </c>
      <c r="R14" s="107"/>
      <c r="S14" s="128">
        <v>-44411</v>
      </c>
      <c r="T14" s="122">
        <v>0</v>
      </c>
      <c r="U14" s="128">
        <v>-8358207</v>
      </c>
      <c r="V14" s="107"/>
      <c r="W14" s="128">
        <v>3946246</v>
      </c>
      <c r="X14" s="111"/>
      <c r="Y14" s="128">
        <v>109199</v>
      </c>
      <c r="AA14" s="40"/>
    </row>
    <row r="15" spans="1:27" ht="20.100000000000001" customHeight="1" x14ac:dyDescent="0.25">
      <c r="A15" s="119">
        <v>109</v>
      </c>
      <c r="B15" s="63" t="s">
        <v>112</v>
      </c>
      <c r="C15" s="123">
        <f>'MFPRSI Supplemental info 2020'!D15</f>
        <v>9.1520081256536531E-2</v>
      </c>
      <c r="D15" s="123">
        <v>9.1210609999999998E-2</v>
      </c>
      <c r="E15" s="128">
        <f>'MFPRSI Supplemental info 2020'!W15</f>
        <v>72996443</v>
      </c>
      <c r="F15" s="128">
        <f t="shared" si="0"/>
        <v>72749610</v>
      </c>
      <c r="G15" s="128">
        <f t="shared" si="1"/>
        <v>-246833</v>
      </c>
      <c r="H15" s="128">
        <f t="shared" si="2"/>
        <v>7501694</v>
      </c>
      <c r="I15" s="128">
        <f t="shared" si="3"/>
        <v>7501694</v>
      </c>
      <c r="J15" s="128">
        <f t="shared" si="4"/>
        <v>0</v>
      </c>
      <c r="K15" s="122">
        <f t="shared" si="5"/>
        <v>-46572</v>
      </c>
      <c r="L15" s="122">
        <f t="shared" si="6"/>
        <v>0</v>
      </c>
      <c r="M15" s="122">
        <f t="shared" si="7"/>
        <v>-200261</v>
      </c>
      <c r="N15" s="107"/>
      <c r="O15" s="122">
        <v>2376042</v>
      </c>
      <c r="P15" s="128">
        <v>771458</v>
      </c>
      <c r="Q15" s="122">
        <v>9158948</v>
      </c>
      <c r="R15" s="107"/>
      <c r="S15" s="128">
        <v>-230522</v>
      </c>
      <c r="T15" s="122">
        <v>0</v>
      </c>
      <c r="U15" s="128">
        <v>-43384446</v>
      </c>
      <c r="V15" s="107"/>
      <c r="W15" s="128">
        <v>20483544</v>
      </c>
      <c r="X15" s="111"/>
      <c r="Y15" s="128">
        <v>566811</v>
      </c>
      <c r="AA15" s="40"/>
    </row>
    <row r="16" spans="1:27" ht="20.100000000000001" customHeight="1" x14ac:dyDescent="0.25">
      <c r="A16" s="119">
        <v>110</v>
      </c>
      <c r="B16" s="63" t="s">
        <v>113</v>
      </c>
      <c r="C16" s="123">
        <f>'MFPRSI Supplemental info 2020'!D16</f>
        <v>2.3828787794019277E-3</v>
      </c>
      <c r="D16" s="123">
        <v>2.2886299999999998E-3</v>
      </c>
      <c r="E16" s="128">
        <f>'MFPRSI Supplemental info 2020'!W16</f>
        <v>1900586</v>
      </c>
      <c r="F16" s="128">
        <f t="shared" si="0"/>
        <v>1825412</v>
      </c>
      <c r="G16" s="128">
        <f t="shared" si="1"/>
        <v>-75174</v>
      </c>
      <c r="H16" s="128">
        <f t="shared" si="2"/>
        <v>188230</v>
      </c>
      <c r="I16" s="128">
        <f t="shared" si="3"/>
        <v>188230</v>
      </c>
      <c r="J16" s="128">
        <f t="shared" si="4"/>
        <v>0</v>
      </c>
      <c r="K16" s="122">
        <f t="shared" si="5"/>
        <v>-14184</v>
      </c>
      <c r="L16" s="122">
        <f t="shared" si="6"/>
        <v>0</v>
      </c>
      <c r="M16" s="122">
        <f t="shared" si="7"/>
        <v>-60990</v>
      </c>
      <c r="N16" s="107"/>
      <c r="O16" s="122">
        <v>59619</v>
      </c>
      <c r="P16" s="128">
        <v>19357</v>
      </c>
      <c r="Q16" s="122">
        <v>229814</v>
      </c>
      <c r="R16" s="107"/>
      <c r="S16" s="128">
        <v>-5784</v>
      </c>
      <c r="T16" s="122">
        <v>0</v>
      </c>
      <c r="U16" s="128">
        <v>-1088590</v>
      </c>
      <c r="V16" s="107"/>
      <c r="W16" s="128">
        <v>513967</v>
      </c>
      <c r="X16" s="111"/>
      <c r="Y16" s="128">
        <v>14222</v>
      </c>
      <c r="AA16" s="40"/>
    </row>
    <row r="17" spans="1:27" ht="20.100000000000001" customHeight="1" x14ac:dyDescent="0.25">
      <c r="A17" s="119">
        <v>111</v>
      </c>
      <c r="B17" s="63" t="s">
        <v>114</v>
      </c>
      <c r="C17" s="123">
        <f>'MFPRSI Supplemental info 2020'!D17</f>
        <v>3.1443409091928458E-3</v>
      </c>
      <c r="D17" s="123">
        <v>3.2693800000000001E-3</v>
      </c>
      <c r="E17" s="128">
        <f>'MFPRSI Supplemental info 2020'!W17</f>
        <v>2507927</v>
      </c>
      <c r="F17" s="128">
        <f t="shared" si="0"/>
        <v>2607658</v>
      </c>
      <c r="G17" s="128">
        <f t="shared" si="1"/>
        <v>99731</v>
      </c>
      <c r="H17" s="128">
        <f t="shared" si="2"/>
        <v>268893</v>
      </c>
      <c r="I17" s="128">
        <f t="shared" si="3"/>
        <v>268893</v>
      </c>
      <c r="J17" s="128">
        <f t="shared" si="4"/>
        <v>0</v>
      </c>
      <c r="K17" s="122">
        <f t="shared" si="5"/>
        <v>18817</v>
      </c>
      <c r="L17" s="122">
        <f t="shared" si="6"/>
        <v>80914</v>
      </c>
      <c r="M17" s="122">
        <f t="shared" si="7"/>
        <v>0</v>
      </c>
      <c r="N17" s="107"/>
      <c r="O17" s="122">
        <v>85168</v>
      </c>
      <c r="P17" s="128">
        <v>27652</v>
      </c>
      <c r="Q17" s="122">
        <v>328296</v>
      </c>
      <c r="R17" s="107"/>
      <c r="S17" s="128">
        <v>-8263</v>
      </c>
      <c r="T17" s="122">
        <v>0</v>
      </c>
      <c r="U17" s="128">
        <v>-1555085</v>
      </c>
      <c r="V17" s="107"/>
      <c r="W17" s="128">
        <v>734218</v>
      </c>
      <c r="X17" s="111"/>
      <c r="Y17" s="128">
        <v>20317</v>
      </c>
      <c r="AA17" s="40"/>
    </row>
    <row r="18" spans="1:27" ht="20.100000000000001" customHeight="1" x14ac:dyDescent="0.25">
      <c r="A18" s="119">
        <v>112</v>
      </c>
      <c r="B18" s="63" t="s">
        <v>115</v>
      </c>
      <c r="C18" s="123">
        <f>'MFPRSI Supplemental info 2020'!D18</f>
        <v>1.9085091246391264E-2</v>
      </c>
      <c r="D18" s="123">
        <v>1.9434529999999998E-2</v>
      </c>
      <c r="E18" s="128">
        <f>'MFPRSI Supplemental info 2020'!W18</f>
        <v>15222273</v>
      </c>
      <c r="F18" s="128">
        <f t="shared" si="0"/>
        <v>15500987</v>
      </c>
      <c r="G18" s="128">
        <f t="shared" si="1"/>
        <v>278714</v>
      </c>
      <c r="H18" s="128">
        <f t="shared" si="2"/>
        <v>1598409</v>
      </c>
      <c r="I18" s="128">
        <f t="shared" si="3"/>
        <v>1598409</v>
      </c>
      <c r="J18" s="128">
        <f t="shared" si="4"/>
        <v>0</v>
      </c>
      <c r="K18" s="122">
        <f t="shared" si="5"/>
        <v>52588</v>
      </c>
      <c r="L18" s="122">
        <f t="shared" si="6"/>
        <v>226126</v>
      </c>
      <c r="M18" s="122">
        <f t="shared" si="7"/>
        <v>0</v>
      </c>
      <c r="N18" s="107"/>
      <c r="O18" s="122">
        <v>506271</v>
      </c>
      <c r="P18" s="128">
        <v>164377</v>
      </c>
      <c r="Q18" s="122">
        <v>1951526</v>
      </c>
      <c r="R18" s="107"/>
      <c r="S18" s="128">
        <v>-49118</v>
      </c>
      <c r="T18" s="122">
        <v>0</v>
      </c>
      <c r="U18" s="128">
        <v>-9244060</v>
      </c>
      <c r="V18" s="107"/>
      <c r="W18" s="128">
        <v>4364493</v>
      </c>
      <c r="X18" s="111"/>
      <c r="Y18" s="128">
        <v>120772</v>
      </c>
      <c r="AA18" s="40"/>
    </row>
    <row r="19" spans="1:27" ht="20.100000000000001" customHeight="1" x14ac:dyDescent="0.25">
      <c r="A19" s="119">
        <v>113</v>
      </c>
      <c r="B19" s="63" t="s">
        <v>116</v>
      </c>
      <c r="C19" s="123">
        <f>'MFPRSI Supplemental info 2020'!D19</f>
        <v>6.1791510539530841E-3</v>
      </c>
      <c r="D19" s="123">
        <v>5.9913600000000003E-3</v>
      </c>
      <c r="E19" s="128">
        <f>'MFPRSI Supplemental info 2020'!W19</f>
        <v>4928492</v>
      </c>
      <c r="F19" s="128">
        <f t="shared" si="0"/>
        <v>4778711</v>
      </c>
      <c r="G19" s="128">
        <f t="shared" si="1"/>
        <v>-149781</v>
      </c>
      <c r="H19" s="128">
        <f t="shared" si="2"/>
        <v>492765</v>
      </c>
      <c r="I19" s="128">
        <f t="shared" si="3"/>
        <v>492765</v>
      </c>
      <c r="J19" s="128">
        <f t="shared" si="4"/>
        <v>0</v>
      </c>
      <c r="K19" s="122">
        <f t="shared" si="5"/>
        <v>-28261</v>
      </c>
      <c r="L19" s="122">
        <f t="shared" si="6"/>
        <v>0</v>
      </c>
      <c r="M19" s="122">
        <f t="shared" si="7"/>
        <v>-121520</v>
      </c>
      <c r="N19" s="107"/>
      <c r="O19" s="122">
        <v>156075</v>
      </c>
      <c r="P19" s="128">
        <v>50675</v>
      </c>
      <c r="Q19" s="122">
        <v>601625</v>
      </c>
      <c r="R19" s="107"/>
      <c r="S19" s="128">
        <v>-15142</v>
      </c>
      <c r="T19" s="122">
        <v>0</v>
      </c>
      <c r="U19" s="128">
        <v>-2849798</v>
      </c>
      <c r="V19" s="107"/>
      <c r="W19" s="128">
        <v>1345504</v>
      </c>
      <c r="X19" s="111"/>
      <c r="Y19" s="128">
        <v>37232</v>
      </c>
      <c r="AA19" s="40"/>
    </row>
    <row r="20" spans="1:27" ht="20.100000000000001" customHeight="1" x14ac:dyDescent="0.25">
      <c r="A20" s="119">
        <v>114</v>
      </c>
      <c r="B20" s="63" t="s">
        <v>117</v>
      </c>
      <c r="C20" s="123">
        <f>'MFPRSI Supplemental info 2020'!D20</f>
        <v>5.8375141530483045E-2</v>
      </c>
      <c r="D20" s="123">
        <v>5.6583609999999999E-2</v>
      </c>
      <c r="E20" s="128">
        <f>'MFPRSI Supplemental info 2020'!W20</f>
        <v>46560029</v>
      </c>
      <c r="F20" s="128">
        <f t="shared" si="0"/>
        <v>45131104</v>
      </c>
      <c r="G20" s="128">
        <f t="shared" si="1"/>
        <v>-1428925</v>
      </c>
      <c r="H20" s="128">
        <f t="shared" si="2"/>
        <v>4653767</v>
      </c>
      <c r="I20" s="128">
        <f t="shared" si="3"/>
        <v>4653767</v>
      </c>
      <c r="J20" s="128">
        <f t="shared" si="4"/>
        <v>0</v>
      </c>
      <c r="K20" s="122">
        <f t="shared" si="5"/>
        <v>-269608</v>
      </c>
      <c r="L20" s="122">
        <f t="shared" si="6"/>
        <v>0</v>
      </c>
      <c r="M20" s="122">
        <f t="shared" si="7"/>
        <v>-1159317</v>
      </c>
      <c r="N20" s="107"/>
      <c r="O20" s="122">
        <v>1474006</v>
      </c>
      <c r="P20" s="128">
        <v>478583</v>
      </c>
      <c r="Q20" s="122">
        <v>5681864</v>
      </c>
      <c r="R20" s="107"/>
      <c r="S20" s="128">
        <v>-143007</v>
      </c>
      <c r="T20" s="122">
        <v>0</v>
      </c>
      <c r="U20" s="128">
        <v>-26914068</v>
      </c>
      <c r="V20" s="107"/>
      <c r="W20" s="128">
        <v>12707215</v>
      </c>
      <c r="X20" s="111"/>
      <c r="Y20" s="128">
        <v>351628</v>
      </c>
      <c r="AA20" s="40"/>
    </row>
    <row r="21" spans="1:27" ht="20.100000000000001" customHeight="1" x14ac:dyDescent="0.25">
      <c r="A21" s="119">
        <v>115</v>
      </c>
      <c r="B21" s="63" t="s">
        <v>118</v>
      </c>
      <c r="C21" s="123">
        <f>'MFPRSI Supplemental info 2020'!D21</f>
        <v>2.8551587915167558E-3</v>
      </c>
      <c r="D21" s="123">
        <v>3.0254399999999999E-3</v>
      </c>
      <c r="E21" s="128">
        <f>'MFPRSI Supplemental info 2020'!W21</f>
        <v>2277276</v>
      </c>
      <c r="F21" s="128">
        <f t="shared" si="0"/>
        <v>2413092</v>
      </c>
      <c r="G21" s="128">
        <f t="shared" si="1"/>
        <v>135816</v>
      </c>
      <c r="H21" s="128">
        <f t="shared" si="2"/>
        <v>248830</v>
      </c>
      <c r="I21" s="128">
        <f t="shared" si="3"/>
        <v>248830</v>
      </c>
      <c r="J21" s="128">
        <f t="shared" si="4"/>
        <v>0</v>
      </c>
      <c r="K21" s="122">
        <f t="shared" si="5"/>
        <v>25626</v>
      </c>
      <c r="L21" s="122">
        <f t="shared" si="6"/>
        <v>110190</v>
      </c>
      <c r="M21" s="122">
        <f t="shared" si="7"/>
        <v>0</v>
      </c>
      <c r="N21" s="107"/>
      <c r="O21" s="122">
        <v>78813</v>
      </c>
      <c r="P21" s="128">
        <v>25589</v>
      </c>
      <c r="Q21" s="122">
        <v>303801</v>
      </c>
      <c r="R21" s="107"/>
      <c r="S21" s="128">
        <v>-7646</v>
      </c>
      <c r="T21" s="122">
        <v>0</v>
      </c>
      <c r="U21" s="128">
        <v>-1439054</v>
      </c>
      <c r="V21" s="107"/>
      <c r="W21" s="128">
        <v>679436</v>
      </c>
      <c r="X21" s="111"/>
      <c r="Y21" s="128">
        <v>18801</v>
      </c>
      <c r="AA21" s="40"/>
    </row>
    <row r="22" spans="1:27" ht="20.100000000000001" customHeight="1" x14ac:dyDescent="0.25">
      <c r="A22" s="119">
        <v>116</v>
      </c>
      <c r="B22" s="63" t="s">
        <v>119</v>
      </c>
      <c r="C22" s="123">
        <f>'MFPRSI Supplemental info 2020'!D22</f>
        <v>7.7319679994158189E-2</v>
      </c>
      <c r="D22" s="123">
        <v>7.5574210000000003E-2</v>
      </c>
      <c r="E22" s="128">
        <f>'MFPRSI Supplemental info 2020'!W22</f>
        <v>61670200</v>
      </c>
      <c r="F22" s="128">
        <f t="shared" si="0"/>
        <v>60278012</v>
      </c>
      <c r="G22" s="128">
        <f t="shared" si="1"/>
        <v>-1392188</v>
      </c>
      <c r="H22" s="128">
        <f t="shared" si="2"/>
        <v>6215665</v>
      </c>
      <c r="I22" s="128">
        <f t="shared" si="3"/>
        <v>6215665</v>
      </c>
      <c r="J22" s="128">
        <f t="shared" si="4"/>
        <v>0</v>
      </c>
      <c r="K22" s="122">
        <f t="shared" si="5"/>
        <v>-262677</v>
      </c>
      <c r="L22" s="122">
        <f t="shared" si="6"/>
        <v>0</v>
      </c>
      <c r="M22" s="122">
        <f t="shared" si="7"/>
        <v>-1129511</v>
      </c>
      <c r="N22" s="107"/>
      <c r="O22" s="122">
        <v>1968712</v>
      </c>
      <c r="P22" s="128">
        <v>639205</v>
      </c>
      <c r="Q22" s="122">
        <v>7588813</v>
      </c>
      <c r="R22" s="107"/>
      <c r="S22" s="128">
        <v>-191003</v>
      </c>
      <c r="T22" s="122">
        <v>0</v>
      </c>
      <c r="U22" s="128">
        <v>-35946972</v>
      </c>
      <c r="V22" s="107"/>
      <c r="W22" s="128">
        <v>16972013</v>
      </c>
      <c r="X22" s="111"/>
      <c r="Y22" s="128">
        <v>469642</v>
      </c>
      <c r="AA22" s="40"/>
    </row>
    <row r="23" spans="1:27" ht="20.100000000000001" customHeight="1" x14ac:dyDescent="0.25">
      <c r="A23" s="119">
        <v>117</v>
      </c>
      <c r="B23" s="63" t="s">
        <v>120</v>
      </c>
      <c r="C23" s="123">
        <f>'MFPRSI Supplemental info 2020'!D23</f>
        <v>2.8575288787496579E-3</v>
      </c>
      <c r="D23" s="123">
        <v>2.9299999999999999E-3</v>
      </c>
      <c r="E23" s="128">
        <f>'MFPRSI Supplemental info 2020'!W23</f>
        <v>2279167</v>
      </c>
      <c r="F23" s="128">
        <f t="shared" si="0"/>
        <v>2336969</v>
      </c>
      <c r="G23" s="128">
        <f t="shared" si="1"/>
        <v>57802</v>
      </c>
      <c r="H23" s="128">
        <f t="shared" si="2"/>
        <v>240980</v>
      </c>
      <c r="I23" s="128">
        <f t="shared" si="3"/>
        <v>240980</v>
      </c>
      <c r="J23" s="128">
        <f t="shared" si="4"/>
        <v>0</v>
      </c>
      <c r="K23" s="122">
        <f t="shared" si="5"/>
        <v>10906</v>
      </c>
      <c r="L23" s="122">
        <f t="shared" si="6"/>
        <v>46896</v>
      </c>
      <c r="M23" s="122">
        <f t="shared" si="7"/>
        <v>0</v>
      </c>
      <c r="N23" s="107"/>
      <c r="O23" s="122">
        <v>76327</v>
      </c>
      <c r="P23" s="128">
        <v>24782</v>
      </c>
      <c r="Q23" s="122">
        <v>294217</v>
      </c>
      <c r="R23" s="107"/>
      <c r="S23" s="128">
        <v>-7405</v>
      </c>
      <c r="T23" s="122">
        <v>0</v>
      </c>
      <c r="U23" s="128">
        <v>-1393658</v>
      </c>
      <c r="V23" s="107"/>
      <c r="W23" s="128">
        <v>658002</v>
      </c>
      <c r="X23" s="111"/>
      <c r="Y23" s="128">
        <v>18208</v>
      </c>
      <c r="AA23" s="40"/>
    </row>
    <row r="24" spans="1:27" ht="20.100000000000001" customHeight="1" x14ac:dyDescent="0.25">
      <c r="A24" s="119">
        <v>118</v>
      </c>
      <c r="B24" s="63" t="s">
        <v>121</v>
      </c>
      <c r="C24" s="123">
        <f>'MFPRSI Supplemental info 2020'!D24</f>
        <v>0.18223014034898039</v>
      </c>
      <c r="D24" s="123">
        <v>0.18374280000000001</v>
      </c>
      <c r="E24" s="128">
        <f>'MFPRSI Supplemental info 2020'!W24</f>
        <v>145346816</v>
      </c>
      <c r="F24" s="128">
        <f t="shared" si="0"/>
        <v>146553312</v>
      </c>
      <c r="G24" s="128">
        <f t="shared" si="1"/>
        <v>1206496</v>
      </c>
      <c r="H24" s="128">
        <f t="shared" si="2"/>
        <v>15112083</v>
      </c>
      <c r="I24" s="128">
        <f t="shared" si="3"/>
        <v>15112083</v>
      </c>
      <c r="J24" s="128">
        <f t="shared" si="4"/>
        <v>0</v>
      </c>
      <c r="K24" s="122">
        <f t="shared" si="5"/>
        <v>227641</v>
      </c>
      <c r="L24" s="122">
        <f t="shared" si="6"/>
        <v>978855</v>
      </c>
      <c r="M24" s="122">
        <f t="shared" si="7"/>
        <v>0</v>
      </c>
      <c r="N24" s="107"/>
      <c r="O24" s="122">
        <v>4786511</v>
      </c>
      <c r="P24" s="128">
        <v>1554093</v>
      </c>
      <c r="Q24" s="122">
        <v>18450605</v>
      </c>
      <c r="R24" s="107"/>
      <c r="S24" s="128">
        <v>-464384</v>
      </c>
      <c r="T24" s="122">
        <v>0</v>
      </c>
      <c r="U24" s="128">
        <v>-87397515</v>
      </c>
      <c r="V24" s="107"/>
      <c r="W24" s="128">
        <v>41263888</v>
      </c>
      <c r="X24" s="111"/>
      <c r="Y24" s="128">
        <v>1141835</v>
      </c>
      <c r="AA24" s="40"/>
    </row>
    <row r="25" spans="1:27" ht="20.100000000000001" customHeight="1" x14ac:dyDescent="0.25">
      <c r="A25" s="119">
        <v>119</v>
      </c>
      <c r="B25" s="63" t="s">
        <v>122</v>
      </c>
      <c r="C25" s="123">
        <f>'MFPRSI Supplemental info 2020'!D25</f>
        <v>2.1113794639495333E-3</v>
      </c>
      <c r="D25" s="123">
        <v>2.0896399999999998E-3</v>
      </c>
      <c r="E25" s="128">
        <f>'MFPRSI Supplemental info 2020'!W25</f>
        <v>1684036</v>
      </c>
      <c r="F25" s="128">
        <f t="shared" si="0"/>
        <v>1666697</v>
      </c>
      <c r="G25" s="128">
        <f t="shared" si="1"/>
        <v>-17339</v>
      </c>
      <c r="H25" s="128">
        <f t="shared" si="2"/>
        <v>171864</v>
      </c>
      <c r="I25" s="128">
        <f t="shared" si="3"/>
        <v>171864</v>
      </c>
      <c r="J25" s="128">
        <f t="shared" si="4"/>
        <v>0</v>
      </c>
      <c r="K25" s="122">
        <f t="shared" si="5"/>
        <v>-3272</v>
      </c>
      <c r="L25" s="122">
        <f t="shared" si="6"/>
        <v>0</v>
      </c>
      <c r="M25" s="122">
        <f t="shared" si="7"/>
        <v>-14067</v>
      </c>
      <c r="N25" s="107"/>
      <c r="O25" s="122">
        <v>54435</v>
      </c>
      <c r="P25" s="128">
        <v>17674</v>
      </c>
      <c r="Q25" s="122">
        <v>209832</v>
      </c>
      <c r="R25" s="107"/>
      <c r="S25" s="128">
        <v>-5281</v>
      </c>
      <c r="T25" s="122">
        <v>0</v>
      </c>
      <c r="U25" s="128">
        <v>-993940</v>
      </c>
      <c r="V25" s="107"/>
      <c r="W25" s="128">
        <v>469279</v>
      </c>
      <c r="X25" s="111"/>
      <c r="Y25" s="128">
        <v>12986</v>
      </c>
      <c r="AA25" s="40"/>
    </row>
    <row r="26" spans="1:27" ht="20.100000000000001" customHeight="1" x14ac:dyDescent="0.25">
      <c r="A26" s="119">
        <v>120</v>
      </c>
      <c r="B26" s="63" t="s">
        <v>123</v>
      </c>
      <c r="C26" s="123">
        <f>'MFPRSI Supplemental info 2020'!D26</f>
        <v>4.7312600420839991E-2</v>
      </c>
      <c r="D26" s="123">
        <v>4.4368930000000001E-2</v>
      </c>
      <c r="E26" s="128">
        <f>'MFPRSI Supplemental info 2020'!W26</f>
        <v>37736544</v>
      </c>
      <c r="F26" s="128">
        <f t="shared" si="0"/>
        <v>35388672</v>
      </c>
      <c r="G26" s="128">
        <f t="shared" si="1"/>
        <v>-2347872</v>
      </c>
      <c r="H26" s="128">
        <f t="shared" si="2"/>
        <v>3649160</v>
      </c>
      <c r="I26" s="128">
        <f t="shared" si="3"/>
        <v>3649160</v>
      </c>
      <c r="J26" s="128">
        <f t="shared" si="4"/>
        <v>0</v>
      </c>
      <c r="K26" s="122">
        <f t="shared" si="5"/>
        <v>-442995</v>
      </c>
      <c r="L26" s="122">
        <f t="shared" si="6"/>
        <v>0</v>
      </c>
      <c r="M26" s="122">
        <f t="shared" si="7"/>
        <v>-1904877</v>
      </c>
      <c r="N26" s="107"/>
      <c r="O26" s="122">
        <v>1155813</v>
      </c>
      <c r="P26" s="128">
        <v>375272</v>
      </c>
      <c r="Q26" s="122">
        <v>4455323</v>
      </c>
      <c r="R26" s="107"/>
      <c r="S26" s="128">
        <v>-112136</v>
      </c>
      <c r="T26" s="122">
        <v>0</v>
      </c>
      <c r="U26" s="128">
        <v>-21104139</v>
      </c>
      <c r="V26" s="107"/>
      <c r="W26" s="128">
        <v>9964114</v>
      </c>
      <c r="X26" s="111"/>
      <c r="Y26" s="128">
        <v>275722</v>
      </c>
      <c r="AA26" s="40"/>
    </row>
    <row r="27" spans="1:27" ht="20.100000000000001" customHeight="1" x14ac:dyDescent="0.25">
      <c r="A27" s="119">
        <v>121</v>
      </c>
      <c r="B27" s="63" t="s">
        <v>124</v>
      </c>
      <c r="C27" s="123">
        <f>'MFPRSI Supplemental info 2020'!D27</f>
        <v>2.2544502676302191E-3</v>
      </c>
      <c r="D27" s="123">
        <v>2.1584600000000001E-3</v>
      </c>
      <c r="E27" s="128">
        <f>'MFPRSI Supplemental info 2020'!W27</f>
        <v>1798150</v>
      </c>
      <c r="F27" s="128">
        <f t="shared" si="0"/>
        <v>1721588</v>
      </c>
      <c r="G27" s="128">
        <f t="shared" si="1"/>
        <v>-76562</v>
      </c>
      <c r="H27" s="128">
        <f t="shared" si="2"/>
        <v>177524</v>
      </c>
      <c r="I27" s="128">
        <f t="shared" si="3"/>
        <v>177524</v>
      </c>
      <c r="J27" s="128">
        <f t="shared" si="4"/>
        <v>0</v>
      </c>
      <c r="K27" s="122">
        <f t="shared" si="5"/>
        <v>-14446</v>
      </c>
      <c r="L27" s="122">
        <f t="shared" si="6"/>
        <v>0</v>
      </c>
      <c r="M27" s="122">
        <f t="shared" si="7"/>
        <v>-62116</v>
      </c>
      <c r="N27" s="107"/>
      <c r="O27" s="122">
        <v>56228</v>
      </c>
      <c r="P27" s="128">
        <v>18256</v>
      </c>
      <c r="Q27" s="122">
        <v>216743</v>
      </c>
      <c r="R27" s="107"/>
      <c r="S27" s="128">
        <v>-5455</v>
      </c>
      <c r="T27" s="122">
        <v>0</v>
      </c>
      <c r="U27" s="128">
        <v>-1026674</v>
      </c>
      <c r="V27" s="107"/>
      <c r="W27" s="128">
        <v>484734</v>
      </c>
      <c r="X27" s="111"/>
      <c r="Y27" s="128">
        <v>13413</v>
      </c>
      <c r="AA27" s="40"/>
    </row>
    <row r="28" spans="1:27" ht="20.100000000000001" customHeight="1" x14ac:dyDescent="0.25">
      <c r="A28" s="119">
        <v>122</v>
      </c>
      <c r="B28" s="63" t="s">
        <v>125</v>
      </c>
      <c r="C28" s="123">
        <f>'MFPRSI Supplemental info 2020'!D28</f>
        <v>1.2834195480105155E-3</v>
      </c>
      <c r="D28" s="123">
        <v>1.19947E-3</v>
      </c>
      <c r="E28" s="128">
        <f>'MFPRSI Supplemental info 2020'!W28</f>
        <v>1023656</v>
      </c>
      <c r="F28" s="128">
        <f t="shared" si="0"/>
        <v>956698</v>
      </c>
      <c r="G28" s="128">
        <f t="shared" si="1"/>
        <v>-66958</v>
      </c>
      <c r="H28" s="128">
        <f t="shared" si="2"/>
        <v>98651</v>
      </c>
      <c r="I28" s="128">
        <f t="shared" si="3"/>
        <v>98651</v>
      </c>
      <c r="J28" s="128">
        <f t="shared" si="4"/>
        <v>0</v>
      </c>
      <c r="K28" s="122">
        <f t="shared" si="5"/>
        <v>-12634</v>
      </c>
      <c r="L28" s="122">
        <f t="shared" si="6"/>
        <v>0</v>
      </c>
      <c r="M28" s="122">
        <f t="shared" si="7"/>
        <v>-54324</v>
      </c>
      <c r="N28" s="107"/>
      <c r="O28" s="122">
        <v>31246</v>
      </c>
      <c r="P28" s="128">
        <v>10145</v>
      </c>
      <c r="Q28" s="122">
        <v>120445</v>
      </c>
      <c r="R28" s="107"/>
      <c r="S28" s="128">
        <v>-3031</v>
      </c>
      <c r="T28" s="122">
        <v>0</v>
      </c>
      <c r="U28" s="128">
        <v>-570529</v>
      </c>
      <c r="V28" s="107"/>
      <c r="W28" s="128">
        <v>269370</v>
      </c>
      <c r="X28" s="111"/>
      <c r="Y28" s="128">
        <v>7454</v>
      </c>
      <c r="AA28" s="40"/>
    </row>
    <row r="29" spans="1:27" ht="20.100000000000001" customHeight="1" x14ac:dyDescent="0.25">
      <c r="A29" s="119">
        <v>123</v>
      </c>
      <c r="B29" s="63" t="s">
        <v>126</v>
      </c>
      <c r="C29" s="123">
        <f>'MFPRSI Supplemental info 2020'!D29</f>
        <v>2.7521811766444428E-3</v>
      </c>
      <c r="D29" s="123">
        <v>2.7936300000000001E-3</v>
      </c>
      <c r="E29" s="128">
        <f>'MFPRSI Supplemental info 2020'!W29</f>
        <v>2195140</v>
      </c>
      <c r="F29" s="128">
        <f t="shared" si="0"/>
        <v>2228200</v>
      </c>
      <c r="G29" s="128">
        <f t="shared" si="1"/>
        <v>33060</v>
      </c>
      <c r="H29" s="128">
        <f t="shared" si="2"/>
        <v>229764</v>
      </c>
      <c r="I29" s="128">
        <f t="shared" si="3"/>
        <v>229764</v>
      </c>
      <c r="J29" s="128">
        <f t="shared" si="4"/>
        <v>0</v>
      </c>
      <c r="K29" s="122">
        <f t="shared" si="5"/>
        <v>6238</v>
      </c>
      <c r="L29" s="122">
        <f t="shared" si="6"/>
        <v>26822</v>
      </c>
      <c r="M29" s="122">
        <f t="shared" si="7"/>
        <v>0</v>
      </c>
      <c r="N29" s="107"/>
      <c r="O29" s="122">
        <v>72774</v>
      </c>
      <c r="P29" s="128">
        <v>23628</v>
      </c>
      <c r="Q29" s="122">
        <v>280523</v>
      </c>
      <c r="R29" s="107"/>
      <c r="S29" s="128">
        <v>-7061</v>
      </c>
      <c r="T29" s="122">
        <v>0</v>
      </c>
      <c r="U29" s="128">
        <v>-1328794</v>
      </c>
      <c r="V29" s="107"/>
      <c r="W29" s="128">
        <v>627377</v>
      </c>
      <c r="X29" s="111"/>
      <c r="Y29" s="128">
        <v>17360</v>
      </c>
      <c r="AA29" s="40"/>
    </row>
    <row r="30" spans="1:27" ht="20.100000000000001" customHeight="1" x14ac:dyDescent="0.25">
      <c r="A30" s="119">
        <v>124</v>
      </c>
      <c r="B30" s="63" t="s">
        <v>127</v>
      </c>
      <c r="C30" s="123">
        <f>'MFPRSI Supplemental info 2020'!D30</f>
        <v>1.6175429891096379E-2</v>
      </c>
      <c r="D30" s="123">
        <v>1.6069980000000001E-2</v>
      </c>
      <c r="E30" s="128">
        <f>'MFPRSI Supplemental info 2020'!W30</f>
        <v>12901528</v>
      </c>
      <c r="F30" s="128">
        <f t="shared" si="0"/>
        <v>12817421</v>
      </c>
      <c r="G30" s="128">
        <f t="shared" si="1"/>
        <v>-84107</v>
      </c>
      <c r="H30" s="128">
        <f t="shared" si="2"/>
        <v>1321689</v>
      </c>
      <c r="I30" s="128">
        <f t="shared" si="3"/>
        <v>1321689</v>
      </c>
      <c r="J30" s="128">
        <f t="shared" si="4"/>
        <v>0</v>
      </c>
      <c r="K30" s="122">
        <f t="shared" si="5"/>
        <v>-15869</v>
      </c>
      <c r="L30" s="122">
        <f t="shared" si="6"/>
        <v>0</v>
      </c>
      <c r="M30" s="122">
        <f t="shared" si="7"/>
        <v>-68238</v>
      </c>
      <c r="N30" s="107"/>
      <c r="O30" s="122">
        <v>418624</v>
      </c>
      <c r="P30" s="128">
        <v>135920</v>
      </c>
      <c r="Q30" s="122">
        <v>1613673</v>
      </c>
      <c r="R30" s="107"/>
      <c r="S30" s="128">
        <v>-40615</v>
      </c>
      <c r="T30" s="122">
        <v>0</v>
      </c>
      <c r="U30" s="128">
        <v>-7643707</v>
      </c>
      <c r="V30" s="107"/>
      <c r="W30" s="128">
        <v>3608902</v>
      </c>
      <c r="X30" s="111"/>
      <c r="Y30" s="128">
        <v>99864</v>
      </c>
      <c r="AA30" s="40"/>
    </row>
    <row r="31" spans="1:27" ht="20.100000000000001" customHeight="1" x14ac:dyDescent="0.25">
      <c r="A31" s="119">
        <v>125</v>
      </c>
      <c r="B31" s="63" t="s">
        <v>128</v>
      </c>
      <c r="C31" s="123">
        <f>'MFPRSI Supplemental info 2020'!D31</f>
        <v>6.7467413071031091E-3</v>
      </c>
      <c r="D31" s="123">
        <v>6.59722E-3</v>
      </c>
      <c r="E31" s="128">
        <f>'MFPRSI Supplemental info 2020'!W31</f>
        <v>5381202</v>
      </c>
      <c r="F31" s="128">
        <f t="shared" si="0"/>
        <v>5261945</v>
      </c>
      <c r="G31" s="128">
        <f t="shared" si="1"/>
        <v>-119257</v>
      </c>
      <c r="H31" s="128">
        <f t="shared" si="2"/>
        <v>542594</v>
      </c>
      <c r="I31" s="128">
        <f t="shared" si="3"/>
        <v>542594</v>
      </c>
      <c r="J31" s="128">
        <f t="shared" si="4"/>
        <v>0</v>
      </c>
      <c r="K31" s="122">
        <f t="shared" si="5"/>
        <v>-22501</v>
      </c>
      <c r="L31" s="122">
        <f t="shared" si="6"/>
        <v>0</v>
      </c>
      <c r="M31" s="122">
        <f t="shared" si="7"/>
        <v>-96756</v>
      </c>
      <c r="N31" s="107"/>
      <c r="O31" s="122">
        <v>171858</v>
      </c>
      <c r="P31" s="128">
        <v>55799</v>
      </c>
      <c r="Q31" s="122">
        <v>662462</v>
      </c>
      <c r="R31" s="107"/>
      <c r="S31" s="128">
        <v>-16674</v>
      </c>
      <c r="T31" s="122">
        <v>0</v>
      </c>
      <c r="U31" s="128">
        <v>-3137976</v>
      </c>
      <c r="V31" s="107"/>
      <c r="W31" s="128">
        <v>1481565</v>
      </c>
      <c r="X31" s="111"/>
      <c r="Y31" s="128">
        <v>40997</v>
      </c>
      <c r="AA31" s="40"/>
    </row>
    <row r="32" spans="1:27" ht="20.100000000000001" customHeight="1" x14ac:dyDescent="0.25">
      <c r="A32" s="119">
        <v>126</v>
      </c>
      <c r="B32" s="63" t="s">
        <v>129</v>
      </c>
      <c r="C32" s="123">
        <f>'MFPRSI Supplemental info 2020'!D32</f>
        <v>3.8125198048250476E-3</v>
      </c>
      <c r="D32" s="123">
        <v>3.61787E-3</v>
      </c>
      <c r="E32" s="128">
        <f>'MFPRSI Supplemental info 2020'!W32</f>
        <v>3040867</v>
      </c>
      <c r="F32" s="128">
        <f t="shared" si="0"/>
        <v>2885614</v>
      </c>
      <c r="G32" s="128">
        <f t="shared" si="1"/>
        <v>-155253</v>
      </c>
      <c r="H32" s="128">
        <f t="shared" si="2"/>
        <v>297555</v>
      </c>
      <c r="I32" s="128">
        <f t="shared" si="3"/>
        <v>297555</v>
      </c>
      <c r="J32" s="128">
        <f t="shared" si="4"/>
        <v>0</v>
      </c>
      <c r="K32" s="122">
        <f t="shared" si="5"/>
        <v>-29293</v>
      </c>
      <c r="L32" s="122">
        <f t="shared" si="6"/>
        <v>0</v>
      </c>
      <c r="M32" s="122">
        <f t="shared" si="7"/>
        <v>-125960</v>
      </c>
      <c r="N32" s="107"/>
      <c r="O32" s="122">
        <v>94246</v>
      </c>
      <c r="P32" s="128">
        <v>30600</v>
      </c>
      <c r="Q32" s="122">
        <v>363290</v>
      </c>
      <c r="R32" s="107"/>
      <c r="S32" s="128">
        <v>-9144</v>
      </c>
      <c r="T32" s="122">
        <v>0</v>
      </c>
      <c r="U32" s="128">
        <v>-1720845</v>
      </c>
      <c r="V32" s="107"/>
      <c r="W32" s="128">
        <v>812480</v>
      </c>
      <c r="X32" s="111"/>
      <c r="Y32" s="128">
        <v>22483</v>
      </c>
      <c r="AA32" s="40"/>
    </row>
    <row r="33" spans="1:27" ht="20.100000000000001" customHeight="1" x14ac:dyDescent="0.25">
      <c r="A33" s="119">
        <v>127</v>
      </c>
      <c r="B33" s="63" t="s">
        <v>130</v>
      </c>
      <c r="C33" s="123">
        <f>'MFPRSI Supplemental info 2020'!D33</f>
        <v>4.8059294357673706E-3</v>
      </c>
      <c r="D33" s="123">
        <v>4.9600900000000003E-3</v>
      </c>
      <c r="E33" s="128">
        <f>'MFPRSI Supplemental info 2020'!W33</f>
        <v>3833211</v>
      </c>
      <c r="F33" s="128">
        <f t="shared" si="0"/>
        <v>3956169</v>
      </c>
      <c r="G33" s="128">
        <f t="shared" si="1"/>
        <v>122958</v>
      </c>
      <c r="H33" s="128">
        <f t="shared" si="2"/>
        <v>407947</v>
      </c>
      <c r="I33" s="128">
        <f t="shared" si="3"/>
        <v>407947</v>
      </c>
      <c r="J33" s="128">
        <f t="shared" si="4"/>
        <v>0</v>
      </c>
      <c r="K33" s="122">
        <f t="shared" si="5"/>
        <v>23200</v>
      </c>
      <c r="L33" s="122">
        <f t="shared" si="6"/>
        <v>99758</v>
      </c>
      <c r="M33" s="122">
        <f t="shared" si="7"/>
        <v>0</v>
      </c>
      <c r="N33" s="107"/>
      <c r="O33" s="122">
        <v>129211</v>
      </c>
      <c r="P33" s="128">
        <v>41952</v>
      </c>
      <c r="Q33" s="122">
        <v>498069</v>
      </c>
      <c r="R33" s="107"/>
      <c r="S33" s="128">
        <v>-12536</v>
      </c>
      <c r="T33" s="122">
        <v>0</v>
      </c>
      <c r="U33" s="128">
        <v>-2359273</v>
      </c>
      <c r="V33" s="107"/>
      <c r="W33" s="128">
        <v>1113908</v>
      </c>
      <c r="X33" s="111"/>
      <c r="Y33" s="128">
        <v>30824</v>
      </c>
      <c r="AA33" s="40"/>
    </row>
    <row r="34" spans="1:27" ht="20.100000000000001" customHeight="1" x14ac:dyDescent="0.25">
      <c r="A34" s="119">
        <v>128</v>
      </c>
      <c r="B34" s="63" t="s">
        <v>131</v>
      </c>
      <c r="C34" s="123">
        <f>'MFPRSI Supplemental info 2020'!D34</f>
        <v>3.6210790774254466E-2</v>
      </c>
      <c r="D34" s="123">
        <v>3.5292200000000003E-2</v>
      </c>
      <c r="E34" s="128">
        <f>'MFPRSI Supplemental info 2020'!W34</f>
        <v>28881737</v>
      </c>
      <c r="F34" s="128">
        <f t="shared" si="0"/>
        <v>28149069</v>
      </c>
      <c r="G34" s="128">
        <f t="shared" si="1"/>
        <v>-732668</v>
      </c>
      <c r="H34" s="128">
        <f t="shared" si="2"/>
        <v>2902637</v>
      </c>
      <c r="I34" s="128">
        <f t="shared" si="3"/>
        <v>2902637</v>
      </c>
      <c r="J34" s="128">
        <f t="shared" si="4"/>
        <v>0</v>
      </c>
      <c r="K34" s="122">
        <f t="shared" si="5"/>
        <v>-138239</v>
      </c>
      <c r="L34" s="122">
        <f t="shared" si="6"/>
        <v>0</v>
      </c>
      <c r="M34" s="122">
        <f t="shared" si="7"/>
        <v>-594429</v>
      </c>
      <c r="N34" s="107"/>
      <c r="O34" s="122">
        <v>919364</v>
      </c>
      <c r="P34" s="128">
        <v>298501</v>
      </c>
      <c r="Q34" s="122">
        <v>3543879</v>
      </c>
      <c r="R34" s="107"/>
      <c r="S34" s="128">
        <v>-89196</v>
      </c>
      <c r="T34" s="122">
        <v>0</v>
      </c>
      <c r="U34" s="128">
        <v>-16786781</v>
      </c>
      <c r="V34" s="107"/>
      <c r="W34" s="128">
        <v>7925715</v>
      </c>
      <c r="X34" s="111"/>
      <c r="Y34" s="128">
        <v>219317</v>
      </c>
      <c r="AA34" s="40"/>
    </row>
    <row r="35" spans="1:27" ht="20.100000000000001" customHeight="1" x14ac:dyDescent="0.25">
      <c r="A35" s="119">
        <v>129</v>
      </c>
      <c r="B35" s="63" t="s">
        <v>132</v>
      </c>
      <c r="C35" s="123">
        <f>'MFPRSI Supplemental info 2020'!D35</f>
        <v>7.4100604222736895E-3</v>
      </c>
      <c r="D35" s="123">
        <v>7.7805499999999998E-3</v>
      </c>
      <c r="E35" s="128">
        <f>'MFPRSI Supplemental info 2020'!W35</f>
        <v>5910266</v>
      </c>
      <c r="F35" s="128">
        <f t="shared" si="0"/>
        <v>6205769</v>
      </c>
      <c r="G35" s="128">
        <f t="shared" si="1"/>
        <v>295503</v>
      </c>
      <c r="H35" s="128">
        <f t="shared" si="2"/>
        <v>639918</v>
      </c>
      <c r="I35" s="128">
        <f t="shared" si="3"/>
        <v>639918</v>
      </c>
      <c r="J35" s="128">
        <f t="shared" si="4"/>
        <v>0</v>
      </c>
      <c r="K35" s="122">
        <f t="shared" si="5"/>
        <v>55755</v>
      </c>
      <c r="L35" s="122">
        <f t="shared" si="6"/>
        <v>239748</v>
      </c>
      <c r="M35" s="122">
        <f t="shared" si="7"/>
        <v>0</v>
      </c>
      <c r="N35" s="107"/>
      <c r="O35" s="122">
        <v>202684</v>
      </c>
      <c r="P35" s="128">
        <v>65808</v>
      </c>
      <c r="Q35" s="122">
        <v>781287</v>
      </c>
      <c r="R35" s="107"/>
      <c r="S35" s="128">
        <v>-19664</v>
      </c>
      <c r="T35" s="122">
        <v>0</v>
      </c>
      <c r="U35" s="128">
        <v>-3700829</v>
      </c>
      <c r="V35" s="107"/>
      <c r="W35" s="128">
        <v>1747310</v>
      </c>
      <c r="X35" s="111"/>
      <c r="Y35" s="128">
        <v>48351</v>
      </c>
      <c r="AA35" s="40"/>
    </row>
    <row r="36" spans="1:27" ht="20.100000000000001" customHeight="1" x14ac:dyDescent="0.25">
      <c r="A36" s="119">
        <v>130</v>
      </c>
      <c r="B36" s="63" t="s">
        <v>133</v>
      </c>
      <c r="C36" s="123">
        <f>'MFPRSI Supplemental info 2020'!D36</f>
        <v>2.4642801021340778E-3</v>
      </c>
      <c r="D36" s="123">
        <v>2.4366600000000002E-3</v>
      </c>
      <c r="E36" s="128">
        <f>'MFPRSI Supplemental info 2020'!W36</f>
        <v>1965510</v>
      </c>
      <c r="F36" s="128">
        <f t="shared" si="0"/>
        <v>1943481</v>
      </c>
      <c r="G36" s="128">
        <f t="shared" si="1"/>
        <v>-22029</v>
      </c>
      <c r="H36" s="128">
        <f t="shared" si="2"/>
        <v>200405</v>
      </c>
      <c r="I36" s="128">
        <f t="shared" si="3"/>
        <v>200405</v>
      </c>
      <c r="J36" s="128">
        <f t="shared" si="4"/>
        <v>0</v>
      </c>
      <c r="K36" s="122">
        <f t="shared" si="5"/>
        <v>-4156</v>
      </c>
      <c r="L36" s="122">
        <f t="shared" si="6"/>
        <v>0</v>
      </c>
      <c r="M36" s="122">
        <f t="shared" si="7"/>
        <v>-17873</v>
      </c>
      <c r="N36" s="107"/>
      <c r="O36" s="122">
        <v>63475</v>
      </c>
      <c r="P36" s="128">
        <v>20609</v>
      </c>
      <c r="Q36" s="122">
        <v>244678</v>
      </c>
      <c r="R36" s="107"/>
      <c r="S36" s="128">
        <v>-6158</v>
      </c>
      <c r="T36" s="122">
        <v>0</v>
      </c>
      <c r="U36" s="128">
        <v>-1159001</v>
      </c>
      <c r="V36" s="107"/>
      <c r="W36" s="128">
        <v>547211</v>
      </c>
      <c r="X36" s="111"/>
      <c r="Y36" s="128">
        <v>15142</v>
      </c>
      <c r="AA36" s="40"/>
    </row>
    <row r="37" spans="1:27" ht="20.100000000000001" customHeight="1" x14ac:dyDescent="0.25">
      <c r="A37" s="119">
        <v>131</v>
      </c>
      <c r="B37" s="67" t="s">
        <v>134</v>
      </c>
      <c r="C37" s="123">
        <f>'MFPRSI Supplemental info 2020'!D37</f>
        <v>3.3518887871975631E-3</v>
      </c>
      <c r="D37" s="123">
        <v>3.21813E-3</v>
      </c>
      <c r="E37" s="128">
        <f>'MFPRSI Supplemental info 2020'!W37</f>
        <v>2673468</v>
      </c>
      <c r="F37" s="128">
        <f t="shared" si="0"/>
        <v>2566781</v>
      </c>
      <c r="G37" s="128">
        <f t="shared" si="1"/>
        <v>-106687</v>
      </c>
      <c r="H37" s="128">
        <f t="shared" si="2"/>
        <v>264678</v>
      </c>
      <c r="I37" s="128">
        <f t="shared" si="3"/>
        <v>264678</v>
      </c>
      <c r="J37" s="128">
        <f t="shared" si="4"/>
        <v>0</v>
      </c>
      <c r="K37" s="122">
        <f t="shared" si="5"/>
        <v>-20130</v>
      </c>
      <c r="L37" s="122">
        <f t="shared" si="6"/>
        <v>0</v>
      </c>
      <c r="M37" s="122">
        <f t="shared" si="7"/>
        <v>-86557</v>
      </c>
      <c r="N37" s="107"/>
      <c r="O37" s="122">
        <v>83832</v>
      </c>
      <c r="P37" s="128">
        <v>27219</v>
      </c>
      <c r="Q37" s="122">
        <v>323150</v>
      </c>
      <c r="R37" s="107"/>
      <c r="S37" s="128">
        <v>-8133</v>
      </c>
      <c r="T37" s="122">
        <v>0</v>
      </c>
      <c r="U37" s="128">
        <v>-1530708</v>
      </c>
      <c r="V37" s="107"/>
      <c r="W37" s="128">
        <v>722709</v>
      </c>
      <c r="X37" s="111"/>
      <c r="Y37" s="128">
        <v>19998</v>
      </c>
      <c r="AA37" s="40"/>
    </row>
    <row r="38" spans="1:27" ht="20.100000000000001" customHeight="1" x14ac:dyDescent="0.25">
      <c r="A38" s="119">
        <v>132</v>
      </c>
      <c r="B38" s="63" t="s">
        <v>135</v>
      </c>
      <c r="C38" s="123">
        <f>'MFPRSI Supplemental info 2020'!D38</f>
        <v>2.0712012919336066E-3</v>
      </c>
      <c r="D38" s="123">
        <v>2.08588E-3</v>
      </c>
      <c r="E38" s="128">
        <f>'MFPRSI Supplemental info 2020'!W38</f>
        <v>1651990</v>
      </c>
      <c r="F38" s="128">
        <f t="shared" si="0"/>
        <v>1663699</v>
      </c>
      <c r="G38" s="128">
        <f t="shared" si="1"/>
        <v>11709</v>
      </c>
      <c r="H38" s="128">
        <f t="shared" si="2"/>
        <v>171555</v>
      </c>
      <c r="I38" s="128">
        <f t="shared" si="3"/>
        <v>171555</v>
      </c>
      <c r="J38" s="128">
        <f t="shared" si="4"/>
        <v>0</v>
      </c>
      <c r="K38" s="122">
        <f t="shared" si="5"/>
        <v>2209</v>
      </c>
      <c r="L38" s="122">
        <f t="shared" si="6"/>
        <v>9500</v>
      </c>
      <c r="M38" s="122">
        <f t="shared" si="7"/>
        <v>0</v>
      </c>
      <c r="N38" s="107"/>
      <c r="O38" s="122">
        <v>54337</v>
      </c>
      <c r="P38" s="128">
        <v>17642</v>
      </c>
      <c r="Q38" s="122">
        <v>209454</v>
      </c>
      <c r="R38" s="107"/>
      <c r="S38" s="128">
        <v>-5272</v>
      </c>
      <c r="T38" s="122">
        <v>0</v>
      </c>
      <c r="U38" s="128">
        <v>-992152</v>
      </c>
      <c r="V38" s="107"/>
      <c r="W38" s="128">
        <v>468435</v>
      </c>
      <c r="X38" s="111"/>
      <c r="Y38" s="128">
        <v>12962</v>
      </c>
      <c r="AA38" s="40"/>
    </row>
    <row r="39" spans="1:27" ht="20.100000000000001" customHeight="1" x14ac:dyDescent="0.25">
      <c r="A39" s="119">
        <v>133</v>
      </c>
      <c r="B39" s="67" t="s">
        <v>136</v>
      </c>
      <c r="C39" s="123">
        <f>'MFPRSI Supplemental info 2020'!D39</f>
        <v>1.9892050867485762E-2</v>
      </c>
      <c r="D39" s="123">
        <v>2.0867239999999999E-2</v>
      </c>
      <c r="E39" s="128">
        <f>'MFPRSI Supplemental info 2020'!W39</f>
        <v>15865905</v>
      </c>
      <c r="F39" s="128">
        <f t="shared" si="0"/>
        <v>16643717</v>
      </c>
      <c r="G39" s="128">
        <f t="shared" si="1"/>
        <v>777812</v>
      </c>
      <c r="H39" s="128">
        <f t="shared" si="2"/>
        <v>1716244</v>
      </c>
      <c r="I39" s="128">
        <f t="shared" si="3"/>
        <v>1716244</v>
      </c>
      <c r="J39" s="128">
        <f t="shared" si="4"/>
        <v>0</v>
      </c>
      <c r="K39" s="122">
        <f t="shared" si="5"/>
        <v>146757</v>
      </c>
      <c r="L39" s="122">
        <f t="shared" si="6"/>
        <v>631055</v>
      </c>
      <c r="M39" s="122">
        <f t="shared" si="7"/>
        <v>0</v>
      </c>
      <c r="N39" s="107"/>
      <c r="O39" s="122">
        <v>543593</v>
      </c>
      <c r="P39" s="128">
        <v>176495</v>
      </c>
      <c r="Q39" s="122">
        <v>2095392</v>
      </c>
      <c r="R39" s="107"/>
      <c r="S39" s="128">
        <v>-52739</v>
      </c>
      <c r="T39" s="122">
        <v>0</v>
      </c>
      <c r="U39" s="128">
        <v>-9925530</v>
      </c>
      <c r="V39" s="107"/>
      <c r="W39" s="128">
        <v>4686242</v>
      </c>
      <c r="X39" s="111"/>
      <c r="Y39" s="128">
        <v>129676</v>
      </c>
      <c r="AA39" s="40"/>
    </row>
    <row r="40" spans="1:27" ht="20.100000000000001" customHeight="1" x14ac:dyDescent="0.25">
      <c r="A40" s="119">
        <v>134</v>
      </c>
      <c r="B40" s="63" t="s">
        <v>137</v>
      </c>
      <c r="C40" s="123">
        <f>'MFPRSI Supplemental info 2020'!D40</f>
        <v>1.4260449767330928E-2</v>
      </c>
      <c r="D40" s="123">
        <v>1.4776950000000001E-2</v>
      </c>
      <c r="E40" s="128">
        <f>'MFPRSI Supplemental info 2020'!W40</f>
        <v>11374139</v>
      </c>
      <c r="F40" s="128">
        <f t="shared" si="0"/>
        <v>11786100</v>
      </c>
      <c r="G40" s="128">
        <f t="shared" si="1"/>
        <v>411961</v>
      </c>
      <c r="H40" s="128">
        <f t="shared" si="2"/>
        <v>1215343</v>
      </c>
      <c r="I40" s="128">
        <f t="shared" si="3"/>
        <v>1215343</v>
      </c>
      <c r="J40" s="128">
        <f t="shared" si="4"/>
        <v>0</v>
      </c>
      <c r="K40" s="122">
        <f t="shared" si="5"/>
        <v>77728</v>
      </c>
      <c r="L40" s="122">
        <f t="shared" si="6"/>
        <v>334233</v>
      </c>
      <c r="M40" s="122">
        <f t="shared" si="7"/>
        <v>0</v>
      </c>
      <c r="N40" s="107"/>
      <c r="O40" s="122">
        <v>384940</v>
      </c>
      <c r="P40" s="128">
        <v>124983</v>
      </c>
      <c r="Q40" s="122">
        <v>1483833</v>
      </c>
      <c r="R40" s="107"/>
      <c r="S40" s="128">
        <v>-37347</v>
      </c>
      <c r="T40" s="122">
        <v>0</v>
      </c>
      <c r="U40" s="128">
        <v>-7028676</v>
      </c>
      <c r="V40" s="107"/>
      <c r="W40" s="128">
        <v>3318521</v>
      </c>
      <c r="X40" s="111"/>
      <c r="Y40" s="128">
        <v>91829</v>
      </c>
      <c r="AA40" s="40"/>
    </row>
    <row r="41" spans="1:27" ht="20.100000000000001" customHeight="1" x14ac:dyDescent="0.25">
      <c r="A41" s="119">
        <v>135</v>
      </c>
      <c r="B41" s="67" t="s">
        <v>138</v>
      </c>
      <c r="C41" s="123">
        <f>'MFPRSI Supplemental info 2020'!D41</f>
        <v>1.884519938909664E-2</v>
      </c>
      <c r="D41" s="123">
        <v>1.8536449999999999E-2</v>
      </c>
      <c r="E41" s="128">
        <f>'MFPRSI Supplemental info 2020'!W41</f>
        <v>15030937</v>
      </c>
      <c r="F41" s="128">
        <f t="shared" si="0"/>
        <v>14784678</v>
      </c>
      <c r="G41" s="128">
        <f t="shared" si="1"/>
        <v>-246259</v>
      </c>
      <c r="H41" s="128">
        <f t="shared" si="2"/>
        <v>1524546</v>
      </c>
      <c r="I41" s="128">
        <f t="shared" si="3"/>
        <v>1524546</v>
      </c>
      <c r="J41" s="128">
        <f t="shared" si="4"/>
        <v>0</v>
      </c>
      <c r="K41" s="122">
        <f t="shared" si="5"/>
        <v>-46464</v>
      </c>
      <c r="L41" s="122">
        <f t="shared" si="6"/>
        <v>0</v>
      </c>
      <c r="M41" s="122">
        <f t="shared" si="7"/>
        <v>-199795</v>
      </c>
      <c r="N41" s="107"/>
      <c r="O41" s="122">
        <v>482876</v>
      </c>
      <c r="P41" s="128">
        <v>156781</v>
      </c>
      <c r="Q41" s="122">
        <v>1861345</v>
      </c>
      <c r="R41" s="107"/>
      <c r="S41" s="128">
        <v>-46848</v>
      </c>
      <c r="T41" s="122">
        <v>0</v>
      </c>
      <c r="U41" s="128">
        <v>-8816887</v>
      </c>
      <c r="V41" s="107"/>
      <c r="W41" s="128">
        <v>4162807</v>
      </c>
      <c r="X41" s="111"/>
      <c r="Y41" s="128">
        <v>115191</v>
      </c>
      <c r="AA41" s="40"/>
    </row>
    <row r="42" spans="1:27" ht="20.100000000000001" customHeight="1" x14ac:dyDescent="0.25">
      <c r="A42" s="119">
        <v>136</v>
      </c>
      <c r="B42" s="67" t="s">
        <v>139</v>
      </c>
      <c r="C42" s="123">
        <f>'MFPRSI Supplemental info 2020'!D42</f>
        <v>1.7255418525379252E-2</v>
      </c>
      <c r="D42" s="123">
        <v>1.7925969999999999E-2</v>
      </c>
      <c r="E42" s="128">
        <f>'MFPRSI Supplemental info 2020'!W42</f>
        <v>13762928</v>
      </c>
      <c r="F42" s="128">
        <f t="shared" si="0"/>
        <v>14297759</v>
      </c>
      <c r="G42" s="128">
        <f t="shared" si="1"/>
        <v>534831</v>
      </c>
      <c r="H42" s="128">
        <f t="shared" si="2"/>
        <v>1474337</v>
      </c>
      <c r="I42" s="128">
        <f t="shared" si="3"/>
        <v>1474337</v>
      </c>
      <c r="J42" s="128">
        <f t="shared" si="4"/>
        <v>0</v>
      </c>
      <c r="K42" s="122">
        <f t="shared" si="5"/>
        <v>100912</v>
      </c>
      <c r="L42" s="122">
        <f t="shared" si="6"/>
        <v>433919</v>
      </c>
      <c r="M42" s="122">
        <f t="shared" si="7"/>
        <v>0</v>
      </c>
      <c r="N42" s="107"/>
      <c r="O42" s="122">
        <v>466973</v>
      </c>
      <c r="P42" s="128">
        <v>151618</v>
      </c>
      <c r="Q42" s="122">
        <v>1800043</v>
      </c>
      <c r="R42" s="107"/>
      <c r="S42" s="128">
        <v>-45305</v>
      </c>
      <c r="T42" s="122">
        <v>0</v>
      </c>
      <c r="U42" s="128">
        <v>-8526511</v>
      </c>
      <c r="V42" s="107"/>
      <c r="W42" s="128">
        <v>4025709</v>
      </c>
      <c r="X42" s="111"/>
      <c r="Y42" s="128">
        <v>111398</v>
      </c>
      <c r="AA42" s="40"/>
    </row>
    <row r="43" spans="1:27" ht="20.100000000000001" customHeight="1" x14ac:dyDescent="0.25">
      <c r="A43" s="119">
        <v>137</v>
      </c>
      <c r="B43" s="67" t="s">
        <v>140</v>
      </c>
      <c r="C43" s="123">
        <f>'MFPRSI Supplemental info 2020'!D43</f>
        <v>1.0336970221175879E-2</v>
      </c>
      <c r="D43" s="123">
        <v>1.1017320000000001E-2</v>
      </c>
      <c r="E43" s="128">
        <f>'MFPRSI Supplemental info 2020'!W43</f>
        <v>8244770</v>
      </c>
      <c r="F43" s="128">
        <f t="shared" si="0"/>
        <v>8787418</v>
      </c>
      <c r="G43" s="128">
        <f t="shared" si="1"/>
        <v>542648</v>
      </c>
      <c r="H43" s="128">
        <f t="shared" si="2"/>
        <v>906129</v>
      </c>
      <c r="I43" s="128">
        <f t="shared" si="3"/>
        <v>906129</v>
      </c>
      <c r="J43" s="128">
        <f t="shared" si="4"/>
        <v>0</v>
      </c>
      <c r="K43" s="122">
        <f t="shared" si="5"/>
        <v>102386</v>
      </c>
      <c r="L43" s="122">
        <f t="shared" si="6"/>
        <v>440262</v>
      </c>
      <c r="M43" s="122">
        <f t="shared" si="7"/>
        <v>0</v>
      </c>
      <c r="N43" s="107"/>
      <c r="O43" s="122">
        <v>287002</v>
      </c>
      <c r="P43" s="128">
        <v>93184</v>
      </c>
      <c r="Q43" s="122">
        <v>1106308</v>
      </c>
      <c r="R43" s="107"/>
      <c r="S43" s="128">
        <v>-27845</v>
      </c>
      <c r="T43" s="122">
        <v>0</v>
      </c>
      <c r="U43" s="128">
        <v>-5240403</v>
      </c>
      <c r="V43" s="107"/>
      <c r="W43" s="128">
        <v>2474205</v>
      </c>
      <c r="X43" s="111"/>
      <c r="Y43" s="128">
        <v>68465</v>
      </c>
      <c r="AA43" s="40"/>
    </row>
    <row r="44" spans="1:27" ht="20.100000000000001" customHeight="1" x14ac:dyDescent="0.25">
      <c r="A44" s="119">
        <v>138</v>
      </c>
      <c r="B44" s="67" t="s">
        <v>141</v>
      </c>
      <c r="C44" s="123">
        <f>'MFPRSI Supplemental info 2020'!D44</f>
        <v>2.067981372625162E-3</v>
      </c>
      <c r="D44" s="123">
        <v>2.0675899999999998E-3</v>
      </c>
      <c r="E44" s="128">
        <f>'MFPRSI Supplemental info 2020'!W44</f>
        <v>1649421</v>
      </c>
      <c r="F44" s="128">
        <f t="shared" si="0"/>
        <v>1649110</v>
      </c>
      <c r="G44" s="128">
        <f t="shared" si="1"/>
        <v>-311</v>
      </c>
      <c r="H44" s="128">
        <f t="shared" si="2"/>
        <v>170051</v>
      </c>
      <c r="I44" s="128">
        <f t="shared" si="3"/>
        <v>170051</v>
      </c>
      <c r="J44" s="128">
        <f t="shared" si="4"/>
        <v>0</v>
      </c>
      <c r="K44" s="122">
        <f t="shared" si="5"/>
        <v>-59</v>
      </c>
      <c r="L44" s="122">
        <f t="shared" si="6"/>
        <v>0</v>
      </c>
      <c r="M44" s="122">
        <f t="shared" si="7"/>
        <v>-252</v>
      </c>
      <c r="N44" s="107"/>
      <c r="O44" s="122">
        <v>53861</v>
      </c>
      <c r="P44" s="128">
        <v>17488</v>
      </c>
      <c r="Q44" s="122">
        <v>207618</v>
      </c>
      <c r="R44" s="107"/>
      <c r="S44" s="128">
        <v>-5226</v>
      </c>
      <c r="T44" s="122">
        <v>0</v>
      </c>
      <c r="U44" s="128">
        <v>-983452</v>
      </c>
      <c r="V44" s="107"/>
      <c r="W44" s="128">
        <v>464327</v>
      </c>
      <c r="X44" s="111"/>
      <c r="Y44" s="128">
        <v>12849</v>
      </c>
      <c r="AA44" s="40"/>
    </row>
    <row r="45" spans="1:27" ht="20.100000000000001" customHeight="1" x14ac:dyDescent="0.25">
      <c r="A45" s="119">
        <v>139</v>
      </c>
      <c r="B45" s="63" t="s">
        <v>142</v>
      </c>
      <c r="C45" s="123">
        <f>'MFPRSI Supplemental info 2020'!D45</f>
        <v>4.6407094901770819E-3</v>
      </c>
      <c r="D45" s="123">
        <v>3.8533700000000001E-3</v>
      </c>
      <c r="E45" s="128">
        <f>'MFPRSI Supplemental info 2020'!W45</f>
        <v>3701432</v>
      </c>
      <c r="F45" s="128">
        <f t="shared" si="0"/>
        <v>3073449</v>
      </c>
      <c r="G45" s="128">
        <f t="shared" si="1"/>
        <v>-627983</v>
      </c>
      <c r="H45" s="128">
        <f t="shared" si="2"/>
        <v>316924</v>
      </c>
      <c r="I45" s="128">
        <f t="shared" si="3"/>
        <v>316924</v>
      </c>
      <c r="J45" s="128">
        <f t="shared" si="4"/>
        <v>0</v>
      </c>
      <c r="K45" s="122">
        <f t="shared" si="5"/>
        <v>-118487</v>
      </c>
      <c r="L45" s="122">
        <f t="shared" si="6"/>
        <v>0</v>
      </c>
      <c r="M45" s="122">
        <f t="shared" si="7"/>
        <v>-509496</v>
      </c>
      <c r="N45" s="107"/>
      <c r="O45" s="122">
        <v>100381</v>
      </c>
      <c r="P45" s="128">
        <v>32592</v>
      </c>
      <c r="Q45" s="122">
        <v>386938</v>
      </c>
      <c r="R45" s="107"/>
      <c r="S45" s="128">
        <v>-9739</v>
      </c>
      <c r="T45" s="122">
        <v>0</v>
      </c>
      <c r="U45" s="128">
        <v>-1832860</v>
      </c>
      <c r="V45" s="107"/>
      <c r="W45" s="128">
        <v>865367</v>
      </c>
      <c r="X45" s="111"/>
      <c r="Y45" s="128">
        <v>23946</v>
      </c>
      <c r="AA45" s="40"/>
    </row>
    <row r="46" spans="1:27" ht="20.100000000000001" customHeight="1" x14ac:dyDescent="0.25">
      <c r="A46" s="119">
        <v>140</v>
      </c>
      <c r="B46" s="67" t="s">
        <v>143</v>
      </c>
      <c r="C46" s="123">
        <f>'MFPRSI Supplemental info 2020'!D46</f>
        <v>1.5125440329080159E-2</v>
      </c>
      <c r="D46" s="123">
        <v>1.374033E-2</v>
      </c>
      <c r="E46" s="128">
        <f>'MFPRSI Supplemental info 2020'!W46</f>
        <v>12064055</v>
      </c>
      <c r="F46" s="128">
        <f t="shared" si="0"/>
        <v>10959291</v>
      </c>
      <c r="G46" s="128">
        <f t="shared" si="1"/>
        <v>-1104764</v>
      </c>
      <c r="H46" s="128">
        <f t="shared" si="2"/>
        <v>1130085</v>
      </c>
      <c r="I46" s="128">
        <f t="shared" si="3"/>
        <v>1130085</v>
      </c>
      <c r="J46" s="128">
        <f t="shared" si="4"/>
        <v>0</v>
      </c>
      <c r="K46" s="122">
        <f t="shared" si="5"/>
        <v>-208446</v>
      </c>
      <c r="L46" s="122">
        <f t="shared" si="6"/>
        <v>0</v>
      </c>
      <c r="M46" s="122">
        <f t="shared" si="7"/>
        <v>-896318</v>
      </c>
      <c r="N46" s="107"/>
      <c r="O46" s="122">
        <v>357936</v>
      </c>
      <c r="P46" s="128">
        <v>116215</v>
      </c>
      <c r="Q46" s="122">
        <v>1379740</v>
      </c>
      <c r="R46" s="107"/>
      <c r="S46" s="128">
        <v>-34727</v>
      </c>
      <c r="T46" s="122">
        <v>0</v>
      </c>
      <c r="U46" s="128">
        <v>-6535606</v>
      </c>
      <c r="V46" s="107"/>
      <c r="W46" s="128">
        <v>3085723</v>
      </c>
      <c r="X46" s="111"/>
      <c r="Y46" s="128">
        <v>85387</v>
      </c>
      <c r="AA46" s="40"/>
    </row>
    <row r="47" spans="1:27" ht="20.100000000000001" customHeight="1" x14ac:dyDescent="0.25">
      <c r="A47" s="119">
        <v>141</v>
      </c>
      <c r="B47" s="68" t="s">
        <v>144</v>
      </c>
      <c r="C47" s="123">
        <f>'MFPRSI Supplemental info 2020'!D47</f>
        <v>3.6047484524597247E-3</v>
      </c>
      <c r="D47" s="123">
        <v>3.8266400000000001E-3</v>
      </c>
      <c r="E47" s="128">
        <f>'MFPRSI Supplemental info 2020'!W47</f>
        <v>2875150</v>
      </c>
      <c r="F47" s="128">
        <f t="shared" si="0"/>
        <v>3052129</v>
      </c>
      <c r="G47" s="128">
        <f t="shared" si="1"/>
        <v>176979</v>
      </c>
      <c r="H47" s="128">
        <f t="shared" si="2"/>
        <v>314725</v>
      </c>
      <c r="I47" s="128">
        <f t="shared" si="3"/>
        <v>314725</v>
      </c>
      <c r="J47" s="128">
        <f t="shared" si="4"/>
        <v>0</v>
      </c>
      <c r="K47" s="122">
        <f t="shared" si="5"/>
        <v>33392</v>
      </c>
      <c r="L47" s="122">
        <f t="shared" si="6"/>
        <v>143587</v>
      </c>
      <c r="M47" s="122">
        <f t="shared" si="7"/>
        <v>0</v>
      </c>
      <c r="N47" s="107"/>
      <c r="O47" s="122">
        <v>99684</v>
      </c>
      <c r="P47" s="128">
        <v>32366</v>
      </c>
      <c r="Q47" s="122">
        <v>384253</v>
      </c>
      <c r="R47" s="107"/>
      <c r="S47" s="128">
        <v>-9671</v>
      </c>
      <c r="T47" s="122">
        <v>0</v>
      </c>
      <c r="U47" s="128">
        <v>-1820146</v>
      </c>
      <c r="V47" s="107"/>
      <c r="W47" s="128">
        <v>859364</v>
      </c>
      <c r="X47" s="111"/>
      <c r="Y47" s="128">
        <v>23780</v>
      </c>
      <c r="AA47" s="40"/>
    </row>
    <row r="48" spans="1:27" ht="20.100000000000001" customHeight="1" x14ac:dyDescent="0.25">
      <c r="A48" s="119">
        <v>142</v>
      </c>
      <c r="B48" s="63" t="s">
        <v>145</v>
      </c>
      <c r="C48" s="123">
        <f>'MFPRSI Supplemental info 2020'!D48</f>
        <v>6.0615569568866809E-2</v>
      </c>
      <c r="D48" s="123">
        <v>6.1435749999999997E-2</v>
      </c>
      <c r="E48" s="128">
        <f>'MFPRSI Supplemental info 2020'!W48</f>
        <v>48346997</v>
      </c>
      <c r="F48" s="128">
        <f t="shared" si="0"/>
        <v>49001173</v>
      </c>
      <c r="G48" s="128">
        <f t="shared" si="1"/>
        <v>654176</v>
      </c>
      <c r="H48" s="128">
        <f t="shared" si="2"/>
        <v>5052836</v>
      </c>
      <c r="I48" s="128">
        <f t="shared" si="3"/>
        <v>5052836</v>
      </c>
      <c r="J48" s="128">
        <f t="shared" si="4"/>
        <v>0</v>
      </c>
      <c r="K48" s="122">
        <f t="shared" si="5"/>
        <v>123429</v>
      </c>
      <c r="L48" s="122">
        <f t="shared" si="6"/>
        <v>530747</v>
      </c>
      <c r="M48" s="122">
        <f t="shared" si="7"/>
        <v>0</v>
      </c>
      <c r="N48" s="107"/>
      <c r="O48" s="122">
        <v>1600405</v>
      </c>
      <c r="P48" s="128">
        <v>519622</v>
      </c>
      <c r="Q48" s="122">
        <v>6169094</v>
      </c>
      <c r="R48" s="107"/>
      <c r="S48" s="128">
        <v>-155270</v>
      </c>
      <c r="T48" s="122">
        <v>0</v>
      </c>
      <c r="U48" s="128">
        <v>-29221995</v>
      </c>
      <c r="V48" s="107"/>
      <c r="W48" s="128">
        <v>13796880</v>
      </c>
      <c r="X48" s="111"/>
      <c r="Y48" s="128">
        <v>381781</v>
      </c>
      <c r="AA48" s="40"/>
    </row>
    <row r="49" spans="1:27" ht="20.100000000000001" customHeight="1" x14ac:dyDescent="0.25">
      <c r="A49" s="119">
        <v>143</v>
      </c>
      <c r="B49" s="63" t="s">
        <v>146</v>
      </c>
      <c r="C49" s="123">
        <f>'MFPRSI Supplemental info 2020'!D49</f>
        <v>4.9906199784661995E-3</v>
      </c>
      <c r="D49" s="123">
        <v>4.8958500000000002E-3</v>
      </c>
      <c r="E49" s="128">
        <f>'MFPRSI Supplemental info 2020'!W49</f>
        <v>3980520</v>
      </c>
      <c r="F49" s="128">
        <f t="shared" si="0"/>
        <v>3904931</v>
      </c>
      <c r="G49" s="128">
        <f t="shared" si="1"/>
        <v>-75589</v>
      </c>
      <c r="H49" s="128">
        <f t="shared" si="2"/>
        <v>402663</v>
      </c>
      <c r="I49" s="128">
        <f t="shared" si="3"/>
        <v>402663</v>
      </c>
      <c r="J49" s="128">
        <f t="shared" si="4"/>
        <v>0</v>
      </c>
      <c r="K49" s="122">
        <f t="shared" si="5"/>
        <v>-14262</v>
      </c>
      <c r="L49" s="122">
        <f t="shared" si="6"/>
        <v>0</v>
      </c>
      <c r="M49" s="122">
        <f t="shared" si="7"/>
        <v>-61327</v>
      </c>
      <c r="N49" s="107"/>
      <c r="O49" s="122">
        <v>127537</v>
      </c>
      <c r="P49" s="128">
        <v>41409</v>
      </c>
      <c r="Q49" s="122">
        <v>491619</v>
      </c>
      <c r="R49" s="107"/>
      <c r="S49" s="128">
        <v>-12374</v>
      </c>
      <c r="T49" s="122">
        <v>0</v>
      </c>
      <c r="U49" s="128">
        <v>-2328717</v>
      </c>
      <c r="V49" s="107"/>
      <c r="W49" s="128">
        <v>1099481</v>
      </c>
      <c r="X49" s="111"/>
      <c r="Y49" s="128">
        <v>30424</v>
      </c>
      <c r="AA49" s="40"/>
    </row>
    <row r="50" spans="1:27" ht="20.100000000000001" customHeight="1" x14ac:dyDescent="0.25">
      <c r="A50" s="119">
        <v>144</v>
      </c>
      <c r="B50" s="63" t="s">
        <v>147</v>
      </c>
      <c r="C50" s="123">
        <f>'MFPRSI Supplemental info 2020'!D50</f>
        <v>3.7706104933959783E-3</v>
      </c>
      <c r="D50" s="123">
        <v>4.03069E-3</v>
      </c>
      <c r="E50" s="128">
        <f>'MFPRSI Supplemental info 2020'!W50</f>
        <v>3007440</v>
      </c>
      <c r="F50" s="128">
        <f t="shared" si="0"/>
        <v>3214880</v>
      </c>
      <c r="G50" s="128">
        <f t="shared" si="1"/>
        <v>207440</v>
      </c>
      <c r="H50" s="128">
        <f t="shared" si="2"/>
        <v>331508</v>
      </c>
      <c r="I50" s="128">
        <f t="shared" si="3"/>
        <v>331508</v>
      </c>
      <c r="J50" s="128">
        <f t="shared" si="4"/>
        <v>0</v>
      </c>
      <c r="K50" s="122">
        <f t="shared" si="5"/>
        <v>39140</v>
      </c>
      <c r="L50" s="122">
        <f t="shared" si="6"/>
        <v>168300</v>
      </c>
      <c r="M50" s="122">
        <f t="shared" si="7"/>
        <v>0</v>
      </c>
      <c r="N50" s="107"/>
      <c r="O50" s="122">
        <v>105000</v>
      </c>
      <c r="P50" s="128">
        <v>34092</v>
      </c>
      <c r="Q50" s="122">
        <v>404743</v>
      </c>
      <c r="R50" s="107"/>
      <c r="S50" s="128">
        <v>-10187</v>
      </c>
      <c r="T50" s="122">
        <v>0</v>
      </c>
      <c r="U50" s="128">
        <v>-1917203</v>
      </c>
      <c r="V50" s="107"/>
      <c r="W50" s="128">
        <v>905189</v>
      </c>
      <c r="X50" s="111"/>
      <c r="Y50" s="128">
        <v>25048</v>
      </c>
      <c r="AA50" s="40"/>
    </row>
    <row r="51" spans="1:27" ht="20.100000000000001" customHeight="1" x14ac:dyDescent="0.25">
      <c r="A51" s="119">
        <v>145</v>
      </c>
      <c r="B51" s="63" t="s">
        <v>148</v>
      </c>
      <c r="C51" s="123">
        <f>'MFPRSI Supplemental info 2020'!D51</f>
        <v>2.3192071570339381E-2</v>
      </c>
      <c r="D51" s="123">
        <v>2.383443E-2</v>
      </c>
      <c r="E51" s="128">
        <f>'MFPRSI Supplemental info 2020'!W51</f>
        <v>18498002</v>
      </c>
      <c r="F51" s="128">
        <f t="shared" si="0"/>
        <v>19010348</v>
      </c>
      <c r="G51" s="128">
        <f t="shared" si="1"/>
        <v>512346</v>
      </c>
      <c r="H51" s="128">
        <f t="shared" si="2"/>
        <v>1960283</v>
      </c>
      <c r="I51" s="128">
        <f t="shared" si="3"/>
        <v>1960283</v>
      </c>
      <c r="J51" s="128">
        <f t="shared" si="4"/>
        <v>0</v>
      </c>
      <c r="K51" s="122">
        <f t="shared" si="5"/>
        <v>96669</v>
      </c>
      <c r="L51" s="122">
        <f t="shared" si="6"/>
        <v>415677</v>
      </c>
      <c r="M51" s="122">
        <f t="shared" si="7"/>
        <v>0</v>
      </c>
      <c r="N51" s="107"/>
      <c r="O51" s="122">
        <v>620888</v>
      </c>
      <c r="P51" s="128">
        <v>201591</v>
      </c>
      <c r="Q51" s="122">
        <v>2393343</v>
      </c>
      <c r="R51" s="107"/>
      <c r="S51" s="128">
        <v>-60238</v>
      </c>
      <c r="T51" s="122">
        <v>0</v>
      </c>
      <c r="U51" s="128">
        <v>-11336878</v>
      </c>
      <c r="V51" s="107"/>
      <c r="W51" s="128">
        <v>5352597</v>
      </c>
      <c r="X51" s="111"/>
      <c r="Y51" s="128">
        <v>148115</v>
      </c>
      <c r="AA51" s="40"/>
    </row>
    <row r="52" spans="1:27" ht="20.100000000000001" customHeight="1" x14ac:dyDescent="0.25">
      <c r="A52" s="119">
        <v>146</v>
      </c>
      <c r="B52" s="63" t="s">
        <v>149</v>
      </c>
      <c r="C52" s="123">
        <f>'MFPRSI Supplemental info 2020'!D52</f>
        <v>5.4712850003930474E-2</v>
      </c>
      <c r="D52" s="123">
        <v>5.5056309999999997E-2</v>
      </c>
      <c r="E52" s="128">
        <f>'MFPRSI Supplemental info 2020'!W52</f>
        <v>43638986</v>
      </c>
      <c r="F52" s="128">
        <f t="shared" si="0"/>
        <v>43912929</v>
      </c>
      <c r="G52" s="128">
        <f t="shared" si="1"/>
        <v>273943</v>
      </c>
      <c r="H52" s="128">
        <f t="shared" si="2"/>
        <v>4528153</v>
      </c>
      <c r="I52" s="128">
        <f t="shared" si="3"/>
        <v>4528153</v>
      </c>
      <c r="J52" s="128">
        <f t="shared" si="4"/>
        <v>0</v>
      </c>
      <c r="K52" s="122">
        <f t="shared" si="5"/>
        <v>51687</v>
      </c>
      <c r="L52" s="122">
        <f t="shared" si="6"/>
        <v>222256</v>
      </c>
      <c r="M52" s="122">
        <f t="shared" si="7"/>
        <v>0</v>
      </c>
      <c r="N52" s="107"/>
      <c r="O52" s="122">
        <v>1434220</v>
      </c>
      <c r="P52" s="128">
        <v>465665</v>
      </c>
      <c r="Q52" s="122">
        <v>5528500</v>
      </c>
      <c r="R52" s="107"/>
      <c r="S52" s="128">
        <v>-139147</v>
      </c>
      <c r="T52" s="122">
        <v>0</v>
      </c>
      <c r="U52" s="128">
        <v>-26187606</v>
      </c>
      <c r="V52" s="107"/>
      <c r="W52" s="128">
        <v>12364223</v>
      </c>
      <c r="X52" s="111"/>
      <c r="Y52" s="128">
        <v>342137</v>
      </c>
      <c r="AA52" s="40"/>
    </row>
    <row r="53" spans="1:27" ht="20.100000000000001" customHeight="1" x14ac:dyDescent="0.25">
      <c r="A53" s="119">
        <v>147</v>
      </c>
      <c r="B53" s="63" t="s">
        <v>150</v>
      </c>
      <c r="C53" s="123">
        <f>'MFPRSI Supplemental info 2020'!D53</f>
        <v>3.4900085321566622E-3</v>
      </c>
      <c r="D53" s="123">
        <v>3.4069399999999998E-3</v>
      </c>
      <c r="E53" s="128">
        <f>'MFPRSI Supplemental info 2020'!W53</f>
        <v>2783633</v>
      </c>
      <c r="F53" s="128">
        <f t="shared" si="0"/>
        <v>2717376</v>
      </c>
      <c r="G53" s="128">
        <f t="shared" si="1"/>
        <v>-66257</v>
      </c>
      <c r="H53" s="128">
        <f t="shared" si="2"/>
        <v>280207</v>
      </c>
      <c r="I53" s="128">
        <f t="shared" si="3"/>
        <v>280207</v>
      </c>
      <c r="J53" s="128">
        <f t="shared" si="4"/>
        <v>0</v>
      </c>
      <c r="K53" s="122">
        <f t="shared" si="5"/>
        <v>-12501</v>
      </c>
      <c r="L53" s="122">
        <f t="shared" si="6"/>
        <v>0</v>
      </c>
      <c r="M53" s="122">
        <f t="shared" si="7"/>
        <v>-53756</v>
      </c>
      <c r="N53" s="107"/>
      <c r="O53" s="122">
        <v>88751</v>
      </c>
      <c r="P53" s="128">
        <v>28816</v>
      </c>
      <c r="Q53" s="122">
        <v>342109</v>
      </c>
      <c r="R53" s="107"/>
      <c r="S53" s="128">
        <v>-8611</v>
      </c>
      <c r="T53" s="122">
        <v>0</v>
      </c>
      <c r="U53" s="128">
        <v>-1620515</v>
      </c>
      <c r="V53" s="107"/>
      <c r="W53" s="128">
        <v>765111</v>
      </c>
      <c r="X53" s="111"/>
      <c r="Y53" s="128">
        <v>21172</v>
      </c>
      <c r="AA53" s="40"/>
    </row>
    <row r="54" spans="1:27" ht="20.100000000000001" customHeight="1" x14ac:dyDescent="0.25">
      <c r="A54" s="119">
        <v>148</v>
      </c>
      <c r="B54" s="63" t="s">
        <v>151</v>
      </c>
      <c r="C54" s="123">
        <f>'MFPRSI Supplemental info 2020'!D54</f>
        <v>2.7856204950539379E-3</v>
      </c>
      <c r="D54" s="123">
        <v>3.1094500000000001E-3</v>
      </c>
      <c r="E54" s="128">
        <f>'MFPRSI Supplemental info 2020'!W54</f>
        <v>2221811</v>
      </c>
      <c r="F54" s="128">
        <f t="shared" si="0"/>
        <v>2480098</v>
      </c>
      <c r="G54" s="128">
        <f t="shared" si="1"/>
        <v>258287</v>
      </c>
      <c r="H54" s="128">
        <f t="shared" si="2"/>
        <v>255739</v>
      </c>
      <c r="I54" s="128">
        <f t="shared" si="3"/>
        <v>255739</v>
      </c>
      <c r="J54" s="128">
        <f t="shared" si="4"/>
        <v>0</v>
      </c>
      <c r="K54" s="122">
        <f t="shared" si="5"/>
        <v>48733</v>
      </c>
      <c r="L54" s="122">
        <f t="shared" si="6"/>
        <v>209554</v>
      </c>
      <c r="M54" s="122">
        <f t="shared" si="7"/>
        <v>0</v>
      </c>
      <c r="N54" s="107"/>
      <c r="O54" s="122">
        <v>81001</v>
      </c>
      <c r="P54" s="128">
        <v>26300</v>
      </c>
      <c r="Q54" s="122">
        <v>312237</v>
      </c>
      <c r="R54" s="107"/>
      <c r="S54" s="128">
        <v>-7859</v>
      </c>
      <c r="T54" s="122">
        <v>0</v>
      </c>
      <c r="U54" s="128">
        <v>-1479014</v>
      </c>
      <c r="V54" s="107"/>
      <c r="W54" s="128">
        <v>698302</v>
      </c>
      <c r="X54" s="111"/>
      <c r="Y54" s="128">
        <v>19323</v>
      </c>
      <c r="AA54" s="40"/>
    </row>
    <row r="55" spans="1:27" ht="19.5" customHeight="1" x14ac:dyDescent="0.25">
      <c r="A55" s="119">
        <v>149</v>
      </c>
      <c r="B55" s="63" t="s">
        <v>152</v>
      </c>
      <c r="C55" s="123">
        <f>'MFPRSI Supplemental info 2020'!D55</f>
        <v>3.6799129520152546E-2</v>
      </c>
      <c r="D55" s="123">
        <v>3.8633500000000001E-2</v>
      </c>
      <c r="E55" s="128">
        <f>'MFPRSI Supplemental info 2020'!W55</f>
        <v>29350997</v>
      </c>
      <c r="F55" s="128">
        <f>ROUND($E$57*D55,0)</f>
        <v>30814091</v>
      </c>
      <c r="G55" s="128">
        <f t="shared" si="1"/>
        <v>1463094</v>
      </c>
      <c r="H55" s="128">
        <f t="shared" si="2"/>
        <v>3177445</v>
      </c>
      <c r="I55" s="128">
        <f t="shared" si="3"/>
        <v>3177445</v>
      </c>
      <c r="J55" s="128">
        <f t="shared" si="4"/>
        <v>0</v>
      </c>
      <c r="K55" s="122">
        <f t="shared" si="5"/>
        <v>276055</v>
      </c>
      <c r="L55" s="122">
        <f t="shared" si="6"/>
        <v>1187039</v>
      </c>
      <c r="M55" s="122">
        <f t="shared" si="7"/>
        <v>0</v>
      </c>
      <c r="N55" s="107"/>
      <c r="O55" s="122">
        <v>1006405</v>
      </c>
      <c r="P55" s="128">
        <v>326761</v>
      </c>
      <c r="Q55" s="122">
        <v>3879397</v>
      </c>
      <c r="R55" s="107"/>
      <c r="S55" s="128">
        <v>-97641</v>
      </c>
      <c r="T55" s="122">
        <v>0</v>
      </c>
      <c r="U55" s="128">
        <v>-18376075</v>
      </c>
      <c r="V55" s="107"/>
      <c r="W55" s="128">
        <v>8676085</v>
      </c>
      <c r="X55" s="111"/>
      <c r="Y55" s="128">
        <v>240081</v>
      </c>
      <c r="AA55" s="40"/>
    </row>
    <row r="56" spans="1:27" x14ac:dyDescent="0.25">
      <c r="A56" s="106"/>
      <c r="B56" s="107"/>
      <c r="C56" s="110"/>
      <c r="D56" s="108"/>
      <c r="E56" s="112"/>
      <c r="F56" s="108"/>
      <c r="G56" s="108"/>
      <c r="H56" s="108"/>
      <c r="I56" s="108"/>
      <c r="J56" s="108"/>
      <c r="K56" s="107"/>
      <c r="L56" s="107"/>
      <c r="M56" s="107"/>
      <c r="N56" s="107"/>
      <c r="O56" s="107"/>
      <c r="P56" s="109"/>
      <c r="Q56" s="107"/>
      <c r="R56" s="107"/>
      <c r="S56" s="107"/>
      <c r="T56" s="107"/>
      <c r="U56" s="111"/>
      <c r="V56" s="107"/>
      <c r="W56" s="109"/>
      <c r="X56" s="109"/>
      <c r="Y56" s="111"/>
    </row>
    <row r="57" spans="1:27" x14ac:dyDescent="0.25">
      <c r="A57" s="106"/>
      <c r="B57" s="68"/>
      <c r="C57" s="131">
        <f t="shared" ref="C57:D57" si="8">SUM(C7:C56)</f>
        <v>1</v>
      </c>
      <c r="D57" s="131">
        <f t="shared" si="8"/>
        <v>0.99999996999999974</v>
      </c>
      <c r="E57" s="128">
        <f>SUM(E7:E56)+E61</f>
        <v>797600299</v>
      </c>
      <c r="F57" s="128">
        <f>SUM(F7:F56)+F61</f>
        <v>797600299</v>
      </c>
      <c r="G57" s="128">
        <f>SUM(G7:G56)+G61</f>
        <v>0</v>
      </c>
      <c r="H57" s="128">
        <f>SUM(H7:H56)+H61</f>
        <v>82245851</v>
      </c>
      <c r="I57" s="132">
        <f>SUM(I7:I56)+I61</f>
        <v>82245851</v>
      </c>
      <c r="J57" s="121">
        <f>SUM(J7:J56)</f>
        <v>0</v>
      </c>
      <c r="K57" s="49">
        <f>SUM(K7:K55)+K61</f>
        <v>0</v>
      </c>
      <c r="L57" s="128">
        <f t="shared" ref="L57" si="9">SUM(L7:L56)</f>
        <v>8171972</v>
      </c>
      <c r="M57" s="128">
        <f>SUM(M7:M56)</f>
        <v>-8171992</v>
      </c>
      <c r="N57" s="107"/>
      <c r="O57" s="128">
        <f>SUM(O7:O56)</f>
        <v>26050057</v>
      </c>
      <c r="P57" s="128">
        <f>SUM(P7:P56)</f>
        <v>8457982</v>
      </c>
      <c r="Q57" s="128">
        <f>SUM(Q7:Q56)</f>
        <v>100415375</v>
      </c>
      <c r="R57" s="107"/>
      <c r="S57" s="128">
        <f>SUM(S7:S56)+S61</f>
        <v>-2527359</v>
      </c>
      <c r="T57" s="128">
        <f>SUM(T7:T56)+T61</f>
        <v>0</v>
      </c>
      <c r="U57" s="128">
        <f>SUM(U7:U56)+U61</f>
        <v>-475651305</v>
      </c>
      <c r="V57" s="111"/>
      <c r="W57" s="128">
        <f>SUM(W7:W56)+W61</f>
        <v>224574135</v>
      </c>
      <c r="X57" s="111"/>
      <c r="Y57" s="128">
        <f>SUM(Y7:Y56)+Y61</f>
        <v>6214313</v>
      </c>
      <c r="AA57" s="40"/>
    </row>
    <row r="58" spans="1:27" x14ac:dyDescent="0.25">
      <c r="A58" s="106"/>
      <c r="B58" s="68"/>
      <c r="C58" s="131"/>
      <c r="D58" s="131"/>
      <c r="E58" s="128"/>
      <c r="F58" s="128"/>
      <c r="G58" s="121"/>
      <c r="H58" s="132"/>
      <c r="I58" s="121"/>
      <c r="J58" s="121"/>
      <c r="K58" s="121"/>
      <c r="L58" s="128"/>
      <c r="M58" s="128"/>
      <c r="N58" s="107"/>
      <c r="O58" s="111"/>
      <c r="P58" s="111"/>
      <c r="Q58" s="111"/>
      <c r="R58" s="107"/>
      <c r="S58" s="111"/>
      <c r="T58" s="111"/>
      <c r="U58" s="111"/>
      <c r="V58" s="111"/>
      <c r="W58" s="111"/>
      <c r="X58" s="111"/>
      <c r="Y58" s="111"/>
    </row>
    <row r="59" spans="1:27" x14ac:dyDescent="0.25">
      <c r="A59" s="106"/>
      <c r="B59" s="68"/>
      <c r="C59" s="123"/>
      <c r="D59" s="121"/>
      <c r="E59" s="128"/>
      <c r="F59" s="128"/>
      <c r="G59" s="121"/>
      <c r="H59" s="121"/>
      <c r="I59" s="121"/>
      <c r="J59" s="121"/>
      <c r="K59" s="121"/>
      <c r="L59" s="128"/>
      <c r="M59" s="128"/>
      <c r="N59" s="107"/>
      <c r="O59" s="130" t="s">
        <v>60</v>
      </c>
      <c r="P59" s="68"/>
      <c r="Q59" s="131"/>
      <c r="R59" s="131"/>
      <c r="S59" s="132"/>
      <c r="T59" s="132"/>
      <c r="U59" s="121">
        <v>5.3</v>
      </c>
      <c r="V59" s="133" t="s">
        <v>61</v>
      </c>
      <c r="W59" s="128"/>
      <c r="X59" s="111"/>
      <c r="Y59" s="111"/>
    </row>
    <row r="60" spans="1:27" x14ac:dyDescent="0.25">
      <c r="A60" s="106"/>
      <c r="B60" s="68"/>
      <c r="C60" s="123"/>
      <c r="D60" s="121"/>
      <c r="E60" s="68"/>
      <c r="F60" s="68"/>
      <c r="G60" s="121"/>
      <c r="H60" s="121"/>
      <c r="I60" s="121"/>
      <c r="J60" s="121"/>
      <c r="K60" s="68"/>
      <c r="L60" s="68"/>
      <c r="M60" s="68"/>
      <c r="N60" s="107"/>
      <c r="O60" s="130" t="s">
        <v>196</v>
      </c>
      <c r="P60" s="122"/>
      <c r="Q60" s="68"/>
      <c r="R60" s="68"/>
      <c r="S60" s="68"/>
      <c r="T60" s="68"/>
      <c r="U60" s="134">
        <v>82245851</v>
      </c>
      <c r="V60" s="107"/>
      <c r="W60" s="107"/>
      <c r="X60" s="107"/>
      <c r="Y60" s="107"/>
    </row>
    <row r="61" spans="1:27" x14ac:dyDescent="0.25">
      <c r="A61" s="106"/>
      <c r="B61" s="68" t="s">
        <v>153</v>
      </c>
      <c r="C61" s="123"/>
      <c r="D61" s="121"/>
      <c r="E61" s="68">
        <v>0</v>
      </c>
      <c r="F61" s="68">
        <v>26</v>
      </c>
      <c r="G61" s="121">
        <v>26</v>
      </c>
      <c r="H61" s="121">
        <v>5</v>
      </c>
      <c r="I61" s="121">
        <v>5</v>
      </c>
      <c r="J61" s="121"/>
      <c r="K61" s="68">
        <v>6</v>
      </c>
      <c r="L61" s="68"/>
      <c r="M61" s="68"/>
      <c r="N61" s="107"/>
      <c r="O61" s="107"/>
      <c r="P61" s="109"/>
      <c r="Q61" s="107"/>
      <c r="R61" s="107"/>
      <c r="S61" s="68">
        <v>0</v>
      </c>
      <c r="T61" s="68">
        <v>0</v>
      </c>
      <c r="U61" s="128">
        <v>0</v>
      </c>
      <c r="V61" s="68"/>
      <c r="W61" s="68">
        <v>0</v>
      </c>
      <c r="X61" s="68"/>
      <c r="Y61" s="68">
        <v>0</v>
      </c>
    </row>
  </sheetData>
  <mergeCells count="3">
    <mergeCell ref="K3:M3"/>
    <mergeCell ref="O3:Q3"/>
    <mergeCell ref="S3:U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2B229-7E53-41EA-8F47-CEF2C3D309AB}">
  <dimension ref="A1:AA61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RowHeight="15" x14ac:dyDescent="0.25"/>
  <cols>
    <col min="1" max="1" width="3.5703125" style="46" bestFit="1" customWidth="1"/>
    <col min="2" max="2" width="15" style="50" bestFit="1" customWidth="1"/>
    <col min="3" max="3" width="10.7109375" style="85" bestFit="1" customWidth="1"/>
    <col min="4" max="4" width="10.7109375" style="90" bestFit="1" customWidth="1"/>
    <col min="5" max="5" width="11.140625" style="90" bestFit="1" customWidth="1"/>
    <col min="6" max="6" width="10.7109375" style="90" bestFit="1" customWidth="1"/>
    <col min="7" max="7" width="9.7109375" style="90" bestFit="1" customWidth="1"/>
    <col min="8" max="9" width="9.85546875" style="90" bestFit="1" customWidth="1"/>
    <col min="10" max="10" width="11.140625" style="90" customWidth="1"/>
    <col min="11" max="11" width="8.7109375" style="50" bestFit="1" customWidth="1"/>
    <col min="12" max="12" width="9.28515625" style="50" bestFit="1" customWidth="1"/>
    <col min="13" max="13" width="9.7109375" style="50" bestFit="1" customWidth="1"/>
    <col min="14" max="14" width="0.85546875" style="50" customWidth="1"/>
    <col min="15" max="15" width="10.7109375" style="50" bestFit="1" customWidth="1"/>
    <col min="16" max="16" width="12.42578125" style="51" bestFit="1" customWidth="1"/>
    <col min="17" max="17" width="10.7109375" style="50" customWidth="1"/>
    <col min="18" max="18" width="2.28515625" style="50" customWidth="1"/>
    <col min="19" max="19" width="10.7109375" style="50" bestFit="1" customWidth="1"/>
    <col min="20" max="20" width="11.7109375" style="50" customWidth="1"/>
    <col min="21" max="21" width="12.7109375" style="50" bestFit="1" customWidth="1"/>
    <col min="22" max="22" width="2.28515625" style="50" customWidth="1"/>
    <col min="23" max="23" width="12.7109375" style="50" bestFit="1" customWidth="1"/>
    <col min="24" max="24" width="2.28515625" style="50" customWidth="1"/>
    <col min="25" max="25" width="11.140625" style="50" bestFit="1" customWidth="1"/>
    <col min="27" max="27" width="12.5703125" bestFit="1" customWidth="1"/>
  </cols>
  <sheetData>
    <row r="1" spans="1:27" x14ac:dyDescent="0.25">
      <c r="A1" s="119"/>
      <c r="B1" s="68"/>
      <c r="C1" s="120" t="s">
        <v>157</v>
      </c>
      <c r="D1" s="121"/>
      <c r="E1" s="121"/>
      <c r="F1" s="121"/>
      <c r="G1" s="121"/>
      <c r="H1" s="121"/>
      <c r="I1" s="121"/>
      <c r="J1" s="121"/>
      <c r="K1" s="68"/>
      <c r="L1" s="68"/>
      <c r="M1" s="68"/>
      <c r="N1" s="68"/>
      <c r="O1" s="120" t="s">
        <v>158</v>
      </c>
      <c r="P1" s="122"/>
      <c r="Q1" s="68"/>
      <c r="R1" s="68"/>
      <c r="S1" s="68"/>
      <c r="T1" s="68"/>
      <c r="U1" s="68"/>
      <c r="V1" s="68"/>
      <c r="W1" s="68"/>
      <c r="X1" s="68"/>
      <c r="Y1" s="68"/>
    </row>
    <row r="2" spans="1:27" x14ac:dyDescent="0.25">
      <c r="A2" s="119"/>
      <c r="B2" s="68"/>
      <c r="C2" s="123"/>
      <c r="D2" s="121"/>
      <c r="E2" s="121"/>
      <c r="F2" s="121"/>
      <c r="G2" s="121"/>
      <c r="H2" s="121"/>
      <c r="I2" s="121"/>
      <c r="J2" s="121"/>
      <c r="K2" s="68"/>
      <c r="L2" s="68"/>
      <c r="M2" s="68"/>
      <c r="N2" s="68"/>
      <c r="O2" s="68"/>
      <c r="P2" s="122"/>
      <c r="Q2" s="68"/>
      <c r="R2" s="68"/>
      <c r="S2" s="68"/>
      <c r="T2" s="68"/>
      <c r="U2" s="68"/>
      <c r="V2" s="68"/>
      <c r="W2" s="68"/>
      <c r="X2" s="68"/>
      <c r="Y2" s="68"/>
    </row>
    <row r="3" spans="1:27" x14ac:dyDescent="0.25">
      <c r="A3" s="119"/>
      <c r="B3" s="68"/>
      <c r="C3" s="123"/>
      <c r="D3" s="121"/>
      <c r="E3" s="121"/>
      <c r="F3" s="121"/>
      <c r="G3" s="121"/>
      <c r="H3" s="115" t="s">
        <v>78</v>
      </c>
      <c r="I3" s="121"/>
      <c r="J3" s="121"/>
      <c r="K3" s="168" t="s">
        <v>79</v>
      </c>
      <c r="L3" s="168"/>
      <c r="M3" s="168"/>
      <c r="N3" s="68"/>
      <c r="O3" s="169" t="s">
        <v>27</v>
      </c>
      <c r="P3" s="169"/>
      <c r="Q3" s="169"/>
      <c r="R3" s="68"/>
      <c r="S3" s="169" t="s">
        <v>30</v>
      </c>
      <c r="T3" s="169"/>
      <c r="U3" s="169"/>
      <c r="V3" s="68"/>
      <c r="W3" s="68"/>
      <c r="X3" s="68"/>
      <c r="Y3" s="68"/>
    </row>
    <row r="4" spans="1:27" x14ac:dyDescent="0.25">
      <c r="A4" s="119"/>
      <c r="B4" s="68"/>
      <c r="C4" s="113">
        <v>43646</v>
      </c>
      <c r="D4" s="113">
        <v>44012</v>
      </c>
      <c r="E4" s="113">
        <v>43646</v>
      </c>
      <c r="F4" s="121"/>
      <c r="G4" s="115" t="s">
        <v>80</v>
      </c>
      <c r="H4" s="115" t="s">
        <v>49</v>
      </c>
      <c r="I4" s="115" t="s">
        <v>49</v>
      </c>
      <c r="J4" s="115" t="s">
        <v>81</v>
      </c>
      <c r="K4" s="68"/>
      <c r="L4" s="68"/>
      <c r="M4" s="68"/>
      <c r="N4" s="68"/>
      <c r="O4" s="115" t="s">
        <v>82</v>
      </c>
      <c r="P4" s="122"/>
      <c r="Q4" s="115" t="s">
        <v>83</v>
      </c>
      <c r="R4" s="115"/>
      <c r="S4" s="115" t="s">
        <v>82</v>
      </c>
      <c r="T4" s="68"/>
      <c r="U4" s="115" t="s">
        <v>83</v>
      </c>
      <c r="V4" s="115"/>
      <c r="W4" s="115" t="s">
        <v>159</v>
      </c>
      <c r="X4" s="115"/>
      <c r="Y4" s="119" t="s">
        <v>84</v>
      </c>
    </row>
    <row r="5" spans="1:27" x14ac:dyDescent="0.25">
      <c r="A5" s="119" t="s">
        <v>154</v>
      </c>
      <c r="B5" s="68"/>
      <c r="C5" s="114" t="s">
        <v>85</v>
      </c>
      <c r="D5" s="114" t="s">
        <v>85</v>
      </c>
      <c r="E5" s="115" t="s">
        <v>86</v>
      </c>
      <c r="F5" s="115" t="s">
        <v>87</v>
      </c>
      <c r="G5" s="115" t="s">
        <v>85</v>
      </c>
      <c r="H5" s="115" t="s">
        <v>88</v>
      </c>
      <c r="I5" s="115" t="s">
        <v>88</v>
      </c>
      <c r="J5" s="115" t="s">
        <v>89</v>
      </c>
      <c r="K5" s="115" t="s">
        <v>90</v>
      </c>
      <c r="L5" s="119" t="s">
        <v>91</v>
      </c>
      <c r="M5" s="119" t="s">
        <v>91</v>
      </c>
      <c r="N5" s="68"/>
      <c r="O5" s="119" t="s">
        <v>92</v>
      </c>
      <c r="P5" s="124" t="s">
        <v>160</v>
      </c>
      <c r="Q5" s="119" t="s">
        <v>92</v>
      </c>
      <c r="R5" s="119"/>
      <c r="S5" s="119" t="s">
        <v>92</v>
      </c>
      <c r="T5" s="115" t="s">
        <v>160</v>
      </c>
      <c r="U5" s="119" t="s">
        <v>92</v>
      </c>
      <c r="V5" s="119"/>
      <c r="W5" s="115" t="s">
        <v>87</v>
      </c>
      <c r="X5" s="115"/>
      <c r="Y5" s="119" t="s">
        <v>90</v>
      </c>
    </row>
    <row r="6" spans="1:27" ht="20.100000000000001" customHeight="1" x14ac:dyDescent="0.35">
      <c r="A6" s="125" t="s">
        <v>155</v>
      </c>
      <c r="B6" s="57" t="s">
        <v>93</v>
      </c>
      <c r="C6" s="116" t="s">
        <v>94</v>
      </c>
      <c r="D6" s="116" t="s">
        <v>94</v>
      </c>
      <c r="E6" s="117" t="s">
        <v>95</v>
      </c>
      <c r="F6" s="118">
        <v>43646</v>
      </c>
      <c r="G6" s="117" t="s">
        <v>96</v>
      </c>
      <c r="H6" s="117" t="s">
        <v>97</v>
      </c>
      <c r="I6" s="117" t="s">
        <v>97</v>
      </c>
      <c r="J6" s="117" t="s">
        <v>98</v>
      </c>
      <c r="K6" s="117" t="s">
        <v>56</v>
      </c>
      <c r="L6" s="117" t="s">
        <v>99</v>
      </c>
      <c r="M6" s="126" t="s">
        <v>100</v>
      </c>
      <c r="N6" s="68"/>
      <c r="O6" s="126" t="s">
        <v>101</v>
      </c>
      <c r="P6" s="127" t="s">
        <v>102</v>
      </c>
      <c r="Q6" s="126" t="s">
        <v>103</v>
      </c>
      <c r="R6" s="126"/>
      <c r="S6" s="126" t="s">
        <v>101</v>
      </c>
      <c r="T6" s="126" t="s">
        <v>102</v>
      </c>
      <c r="U6" s="126" t="s">
        <v>103</v>
      </c>
      <c r="V6" s="126"/>
      <c r="W6" s="118">
        <v>44012</v>
      </c>
      <c r="X6" s="118"/>
      <c r="Y6" s="126" t="s">
        <v>56</v>
      </c>
    </row>
    <row r="7" spans="1:27" ht="20.100000000000001" customHeight="1" x14ac:dyDescent="0.25">
      <c r="A7" s="119">
        <v>101</v>
      </c>
      <c r="B7" s="63" t="s">
        <v>104</v>
      </c>
      <c r="C7" s="123">
        <f>'MFPRSI Supplemental info 2019'!D7</f>
        <v>2.6635319905756096E-2</v>
      </c>
      <c r="D7" s="123">
        <v>2.6775948776529022E-2</v>
      </c>
      <c r="E7" s="128">
        <f>'MFPRSI Supplemental info 2019'!W7</f>
        <v>17470814</v>
      </c>
      <c r="F7" s="128">
        <f>ROUND($E$57*D7,0)</f>
        <v>17563056</v>
      </c>
      <c r="G7" s="128">
        <f>F7-E7</f>
        <v>92242</v>
      </c>
      <c r="H7" s="128">
        <f>ROUND(D7*$U$60,0)</f>
        <v>2076514</v>
      </c>
      <c r="I7" s="128">
        <f>H7</f>
        <v>2076514</v>
      </c>
      <c r="J7" s="128">
        <f>H7-I7</f>
        <v>0</v>
      </c>
      <c r="K7" s="122">
        <f>ROUND((G7+J7)/$U$59,0)</f>
        <v>17404</v>
      </c>
      <c r="L7" s="129">
        <f>IF(K7&lt;0,0,G7+J7-K7)</f>
        <v>74838</v>
      </c>
      <c r="M7" s="122">
        <f>IF(G7&lt;0,(G7+J7-K7),0)</f>
        <v>0</v>
      </c>
      <c r="N7" s="107"/>
      <c r="O7" s="122">
        <v>587188</v>
      </c>
      <c r="P7" s="128">
        <v>529025</v>
      </c>
      <c r="Q7" s="122">
        <v>3677584</v>
      </c>
      <c r="R7" s="107"/>
      <c r="S7" s="128">
        <v>-116010</v>
      </c>
      <c r="T7" s="122">
        <v>-25480</v>
      </c>
      <c r="U7" s="128">
        <v>-535789</v>
      </c>
      <c r="V7" s="107"/>
      <c r="W7" s="128">
        <v>21356506</v>
      </c>
      <c r="X7" s="111"/>
      <c r="Y7" s="128">
        <v>3966904</v>
      </c>
      <c r="AA7" s="40"/>
    </row>
    <row r="8" spans="1:27" ht="20.100000000000001" customHeight="1" x14ac:dyDescent="0.25">
      <c r="A8" s="119">
        <v>102</v>
      </c>
      <c r="B8" s="63" t="s">
        <v>105</v>
      </c>
      <c r="C8" s="123">
        <f>'MFPRSI Supplemental info 2019'!D8</f>
        <v>2.3949040551824331E-2</v>
      </c>
      <c r="D8" s="123">
        <v>2.5630790612156864E-2</v>
      </c>
      <c r="E8" s="128">
        <f>'MFPRSI Supplemental info 2019'!W8</f>
        <v>15708812</v>
      </c>
      <c r="F8" s="128">
        <f t="shared" ref="F8:F54" si="0">ROUND($E$57*D8,0)</f>
        <v>16811917</v>
      </c>
      <c r="G8" s="128">
        <f t="shared" ref="G8:G55" si="1">F8-E8</f>
        <v>1103105</v>
      </c>
      <c r="H8" s="128">
        <f t="shared" ref="H8:H55" si="2">ROUND(D8*$U$60,0)</f>
        <v>1987705</v>
      </c>
      <c r="I8" s="128">
        <f t="shared" ref="I8:I55" si="3">H8</f>
        <v>1987705</v>
      </c>
      <c r="J8" s="128">
        <f t="shared" ref="J8:J55" si="4">H8-I8</f>
        <v>0</v>
      </c>
      <c r="K8" s="122">
        <f t="shared" ref="K8:K55" si="5">ROUND((G8+J8)/$U$59,0)</f>
        <v>208133</v>
      </c>
      <c r="L8" s="122">
        <f t="shared" ref="L8:L55" si="6">IF(K8&lt;0,0,G8+J8-K8)</f>
        <v>894972</v>
      </c>
      <c r="M8" s="122">
        <f t="shared" ref="M8:M55" si="7">IF(G8&lt;0,(G8+J8-K8),0)</f>
        <v>0</v>
      </c>
      <c r="N8" s="107"/>
      <c r="O8" s="122">
        <v>562075</v>
      </c>
      <c r="P8" s="128">
        <v>506400</v>
      </c>
      <c r="Q8" s="122">
        <v>3520300</v>
      </c>
      <c r="R8" s="107"/>
      <c r="S8" s="128">
        <v>-111048</v>
      </c>
      <c r="T8" s="122">
        <v>-24390</v>
      </c>
      <c r="U8" s="128">
        <v>-512875</v>
      </c>
      <c r="V8" s="107"/>
      <c r="W8" s="128">
        <v>20443126</v>
      </c>
      <c r="X8" s="111"/>
      <c r="Y8" s="128">
        <v>3797246</v>
      </c>
      <c r="AA8" s="40"/>
    </row>
    <row r="9" spans="1:27" ht="20.100000000000001" customHeight="1" x14ac:dyDescent="0.25">
      <c r="A9" s="119">
        <v>103</v>
      </c>
      <c r="B9" s="63" t="s">
        <v>106</v>
      </c>
      <c r="C9" s="123">
        <f>'MFPRSI Supplemental info 2019'!D9</f>
        <v>1.8753109846965203E-2</v>
      </c>
      <c r="D9" s="123">
        <v>1.8736719898416739E-2</v>
      </c>
      <c r="E9" s="128">
        <f>'MFPRSI Supplemental info 2019'!W9</f>
        <v>12300663</v>
      </c>
      <c r="F9" s="128">
        <f t="shared" si="0"/>
        <v>12289912</v>
      </c>
      <c r="G9" s="128">
        <f t="shared" si="1"/>
        <v>-10751</v>
      </c>
      <c r="H9" s="128">
        <f t="shared" si="2"/>
        <v>1453060</v>
      </c>
      <c r="I9" s="128">
        <f t="shared" si="3"/>
        <v>1453060</v>
      </c>
      <c r="J9" s="128">
        <f t="shared" si="4"/>
        <v>0</v>
      </c>
      <c r="K9" s="122">
        <f t="shared" si="5"/>
        <v>-2028</v>
      </c>
      <c r="L9" s="122">
        <f t="shared" si="6"/>
        <v>0</v>
      </c>
      <c r="M9" s="122">
        <f t="shared" si="7"/>
        <v>-8723</v>
      </c>
      <c r="N9" s="107"/>
      <c r="O9" s="122">
        <v>410890</v>
      </c>
      <c r="P9" s="128">
        <v>370190</v>
      </c>
      <c r="Q9" s="122">
        <v>2573424</v>
      </c>
      <c r="R9" s="107"/>
      <c r="S9" s="128">
        <v>-81179</v>
      </c>
      <c r="T9" s="122">
        <v>-17830</v>
      </c>
      <c r="U9" s="128">
        <v>-374924</v>
      </c>
      <c r="V9" s="107"/>
      <c r="W9" s="128">
        <v>14944413</v>
      </c>
      <c r="X9" s="111"/>
      <c r="Y9" s="128">
        <v>2775878</v>
      </c>
      <c r="AA9" s="40"/>
    </row>
    <row r="10" spans="1:27" ht="20.100000000000001" customHeight="1" x14ac:dyDescent="0.25">
      <c r="A10" s="119">
        <v>104</v>
      </c>
      <c r="B10" s="63" t="s">
        <v>107</v>
      </c>
      <c r="C10" s="123">
        <f>'MFPRSI Supplemental info 2019'!D10</f>
        <v>5.6610406949379119E-3</v>
      </c>
      <c r="D10" s="123">
        <v>5.4124388504510363E-3</v>
      </c>
      <c r="E10" s="128">
        <f>'MFPRSI Supplemental info 2019'!W10</f>
        <v>3713227</v>
      </c>
      <c r="F10" s="128">
        <f t="shared" si="0"/>
        <v>3550162</v>
      </c>
      <c r="G10" s="128">
        <f t="shared" si="1"/>
        <v>-163065</v>
      </c>
      <c r="H10" s="128">
        <f t="shared" si="2"/>
        <v>419743</v>
      </c>
      <c r="I10" s="128">
        <f t="shared" si="3"/>
        <v>419743</v>
      </c>
      <c r="J10" s="128">
        <f t="shared" si="4"/>
        <v>0</v>
      </c>
      <c r="K10" s="122">
        <f t="shared" si="5"/>
        <v>-30767</v>
      </c>
      <c r="L10" s="122">
        <f t="shared" si="6"/>
        <v>0</v>
      </c>
      <c r="M10" s="122">
        <f t="shared" si="7"/>
        <v>-132298</v>
      </c>
      <c r="N10" s="107"/>
      <c r="O10" s="122">
        <v>118693</v>
      </c>
      <c r="P10" s="128">
        <v>106936</v>
      </c>
      <c r="Q10" s="122">
        <v>743380</v>
      </c>
      <c r="R10" s="107"/>
      <c r="S10" s="128">
        <v>-23450</v>
      </c>
      <c r="T10" s="122">
        <v>-5150</v>
      </c>
      <c r="U10" s="128">
        <v>-108303</v>
      </c>
      <c r="V10" s="107"/>
      <c r="W10" s="128">
        <v>4316964</v>
      </c>
      <c r="X10" s="111"/>
      <c r="Y10" s="128">
        <v>801862</v>
      </c>
      <c r="AA10" s="40"/>
    </row>
    <row r="11" spans="1:27" ht="20.100000000000001" customHeight="1" x14ac:dyDescent="0.25">
      <c r="A11" s="119">
        <v>105</v>
      </c>
      <c r="B11" s="63" t="s">
        <v>108</v>
      </c>
      <c r="C11" s="123">
        <f>'MFPRSI Supplemental info 2019'!D11</f>
        <v>1.8794179993035166E-2</v>
      </c>
      <c r="D11" s="123">
        <v>1.8295329708484777E-2</v>
      </c>
      <c r="E11" s="128">
        <f>'MFPRSI Supplemental info 2019'!W11</f>
        <v>12327602</v>
      </c>
      <c r="F11" s="128">
        <f t="shared" si="0"/>
        <v>12000393</v>
      </c>
      <c r="G11" s="128">
        <f t="shared" si="1"/>
        <v>-327209</v>
      </c>
      <c r="H11" s="128">
        <f t="shared" si="2"/>
        <v>1418830</v>
      </c>
      <c r="I11" s="128">
        <f t="shared" si="3"/>
        <v>1418830</v>
      </c>
      <c r="J11" s="128">
        <f t="shared" si="4"/>
        <v>0</v>
      </c>
      <c r="K11" s="122">
        <f t="shared" si="5"/>
        <v>-61738</v>
      </c>
      <c r="L11" s="122">
        <f t="shared" si="6"/>
        <v>0</v>
      </c>
      <c r="M11" s="122">
        <f t="shared" si="7"/>
        <v>-265471</v>
      </c>
      <c r="N11" s="107"/>
      <c r="O11" s="122">
        <v>401210</v>
      </c>
      <c r="P11" s="128">
        <v>361470</v>
      </c>
      <c r="Q11" s="122">
        <v>2512800</v>
      </c>
      <c r="R11" s="107"/>
      <c r="S11" s="128">
        <v>-79267</v>
      </c>
      <c r="T11" s="122">
        <v>-17410</v>
      </c>
      <c r="U11" s="128">
        <v>-366091</v>
      </c>
      <c r="V11" s="107"/>
      <c r="W11" s="128">
        <v>14592361</v>
      </c>
      <c r="X11" s="111"/>
      <c r="Y11" s="128">
        <v>2710485</v>
      </c>
      <c r="AA11" s="40"/>
    </row>
    <row r="12" spans="1:27" ht="20.100000000000001" customHeight="1" x14ac:dyDescent="0.25">
      <c r="A12" s="119">
        <v>106</v>
      </c>
      <c r="B12" s="63" t="s">
        <v>109</v>
      </c>
      <c r="C12" s="123">
        <f>'MFPRSI Supplemental info 2019'!D12</f>
        <v>2.3426296061503189E-3</v>
      </c>
      <c r="D12" s="123">
        <v>2.5275390838164981E-3</v>
      </c>
      <c r="E12" s="128">
        <f>'MFPRSI Supplemental info 2019'!W12</f>
        <v>1536593</v>
      </c>
      <c r="F12" s="128">
        <f t="shared" si="0"/>
        <v>1657880</v>
      </c>
      <c r="G12" s="128">
        <f t="shared" si="1"/>
        <v>121287</v>
      </c>
      <c r="H12" s="128">
        <f t="shared" si="2"/>
        <v>196014</v>
      </c>
      <c r="I12" s="128">
        <f t="shared" si="3"/>
        <v>196014</v>
      </c>
      <c r="J12" s="128">
        <f t="shared" si="4"/>
        <v>0</v>
      </c>
      <c r="K12" s="122">
        <f t="shared" si="5"/>
        <v>22884</v>
      </c>
      <c r="L12" s="122">
        <f t="shared" si="6"/>
        <v>98403</v>
      </c>
      <c r="M12" s="122">
        <f t="shared" si="7"/>
        <v>0</v>
      </c>
      <c r="N12" s="107"/>
      <c r="O12" s="122">
        <v>55428</v>
      </c>
      <c r="P12" s="128">
        <v>49938</v>
      </c>
      <c r="Q12" s="122">
        <v>347149</v>
      </c>
      <c r="R12" s="107"/>
      <c r="S12" s="128">
        <v>-10951</v>
      </c>
      <c r="T12" s="122">
        <v>-2405</v>
      </c>
      <c r="U12" s="128">
        <v>-50576</v>
      </c>
      <c r="V12" s="107"/>
      <c r="W12" s="128">
        <v>2015967</v>
      </c>
      <c r="X12" s="111"/>
      <c r="Y12" s="128">
        <v>374459</v>
      </c>
      <c r="AA12" s="40"/>
    </row>
    <row r="13" spans="1:27" ht="20.100000000000001" customHeight="1" x14ac:dyDescent="0.25">
      <c r="A13" s="119">
        <v>107</v>
      </c>
      <c r="B13" s="63" t="s">
        <v>110</v>
      </c>
      <c r="C13" s="123">
        <f>'MFPRSI Supplemental info 2019'!D13</f>
        <v>2.7899799863115469E-3</v>
      </c>
      <c r="D13" s="123">
        <v>2.9244295482520884E-3</v>
      </c>
      <c r="E13" s="128">
        <f>'MFPRSI Supplemental info 2019'!W13</f>
        <v>1830022</v>
      </c>
      <c r="F13" s="128">
        <f t="shared" si="0"/>
        <v>1918211</v>
      </c>
      <c r="G13" s="128">
        <f t="shared" si="1"/>
        <v>88189</v>
      </c>
      <c r="H13" s="128">
        <f t="shared" si="2"/>
        <v>226794</v>
      </c>
      <c r="I13" s="128">
        <f t="shared" si="3"/>
        <v>226794</v>
      </c>
      <c r="J13" s="128">
        <f t="shared" si="4"/>
        <v>0</v>
      </c>
      <c r="K13" s="122">
        <f t="shared" si="5"/>
        <v>16639</v>
      </c>
      <c r="L13" s="122">
        <f t="shared" si="6"/>
        <v>71550</v>
      </c>
      <c r="M13" s="122">
        <f t="shared" si="7"/>
        <v>0</v>
      </c>
      <c r="N13" s="107"/>
      <c r="O13" s="122">
        <v>64132</v>
      </c>
      <c r="P13" s="128">
        <v>57779</v>
      </c>
      <c r="Q13" s="122">
        <v>401660</v>
      </c>
      <c r="R13" s="107"/>
      <c r="S13" s="128">
        <v>-12670</v>
      </c>
      <c r="T13" s="122">
        <v>-2783</v>
      </c>
      <c r="U13" s="128">
        <v>-58518</v>
      </c>
      <c r="V13" s="107"/>
      <c r="W13" s="128">
        <v>2332526</v>
      </c>
      <c r="X13" s="111"/>
      <c r="Y13" s="128">
        <v>433259</v>
      </c>
      <c r="AA13" s="40"/>
    </row>
    <row r="14" spans="1:27" ht="20.100000000000001" customHeight="1" x14ac:dyDescent="0.25">
      <c r="A14" s="119">
        <v>108</v>
      </c>
      <c r="B14" s="63" t="s">
        <v>111</v>
      </c>
      <c r="C14" s="123">
        <f>'MFPRSI Supplemental info 2019'!D14</f>
        <v>1.8648689621840887E-2</v>
      </c>
      <c r="D14" s="123">
        <v>1.8599289461696693E-2</v>
      </c>
      <c r="E14" s="128">
        <f>'MFPRSI Supplemental info 2019'!W14</f>
        <v>12232171</v>
      </c>
      <c r="F14" s="128">
        <f t="shared" si="0"/>
        <v>12199768</v>
      </c>
      <c r="G14" s="128">
        <f t="shared" si="1"/>
        <v>-32403</v>
      </c>
      <c r="H14" s="128">
        <f t="shared" si="2"/>
        <v>1442402</v>
      </c>
      <c r="I14" s="128">
        <f t="shared" si="3"/>
        <v>1442402</v>
      </c>
      <c r="J14" s="128">
        <f t="shared" si="4"/>
        <v>0</v>
      </c>
      <c r="K14" s="122">
        <f t="shared" si="5"/>
        <v>-6114</v>
      </c>
      <c r="L14" s="122">
        <f t="shared" si="6"/>
        <v>0</v>
      </c>
      <c r="M14" s="122">
        <f t="shared" si="7"/>
        <v>-26289</v>
      </c>
      <c r="N14" s="107"/>
      <c r="O14" s="122">
        <v>407876</v>
      </c>
      <c r="P14" s="128">
        <v>367475</v>
      </c>
      <c r="Q14" s="122">
        <v>2554548</v>
      </c>
      <c r="R14" s="107"/>
      <c r="S14" s="128">
        <v>-80584</v>
      </c>
      <c r="T14" s="122">
        <v>-17699</v>
      </c>
      <c r="U14" s="128">
        <v>-372174</v>
      </c>
      <c r="V14" s="107"/>
      <c r="W14" s="128">
        <v>14834799</v>
      </c>
      <c r="X14" s="111"/>
      <c r="Y14" s="128">
        <v>2755517</v>
      </c>
      <c r="AA14" s="40"/>
    </row>
    <row r="15" spans="1:27" ht="20.100000000000001" customHeight="1" x14ac:dyDescent="0.25">
      <c r="A15" s="119">
        <v>109</v>
      </c>
      <c r="B15" s="63" t="s">
        <v>112</v>
      </c>
      <c r="C15" s="123">
        <f>'MFPRSI Supplemental info 2019'!D15</f>
        <v>9.065805047454939E-2</v>
      </c>
      <c r="D15" s="123">
        <v>9.1520081256536531E-2</v>
      </c>
      <c r="E15" s="128">
        <f>'MFPRSI Supplemental info 2019'!W15</f>
        <v>59465024</v>
      </c>
      <c r="F15" s="128">
        <f t="shared" si="0"/>
        <v>60030453</v>
      </c>
      <c r="G15" s="128">
        <f t="shared" si="1"/>
        <v>565429</v>
      </c>
      <c r="H15" s="128">
        <f t="shared" si="2"/>
        <v>7097516</v>
      </c>
      <c r="I15" s="128">
        <f t="shared" si="3"/>
        <v>7097516</v>
      </c>
      <c r="J15" s="128">
        <f t="shared" si="4"/>
        <v>0</v>
      </c>
      <c r="K15" s="122">
        <f t="shared" si="5"/>
        <v>106685</v>
      </c>
      <c r="L15" s="122">
        <f t="shared" si="6"/>
        <v>458744</v>
      </c>
      <c r="M15" s="122">
        <f t="shared" si="7"/>
        <v>0</v>
      </c>
      <c r="N15" s="107"/>
      <c r="O15" s="122">
        <v>2007005</v>
      </c>
      <c r="P15" s="128">
        <v>1808206</v>
      </c>
      <c r="Q15" s="122">
        <v>12569966</v>
      </c>
      <c r="R15" s="107"/>
      <c r="S15" s="128">
        <v>-396521</v>
      </c>
      <c r="T15" s="122">
        <v>-87090</v>
      </c>
      <c r="U15" s="128">
        <v>-1831325</v>
      </c>
      <c r="V15" s="107"/>
      <c r="W15" s="128">
        <v>72996443</v>
      </c>
      <c r="X15" s="111"/>
      <c r="Y15" s="128">
        <v>13558860</v>
      </c>
      <c r="AA15" s="40"/>
    </row>
    <row r="16" spans="1:27" ht="20.100000000000001" customHeight="1" x14ac:dyDescent="0.25">
      <c r="A16" s="119">
        <v>110</v>
      </c>
      <c r="B16" s="63" t="s">
        <v>113</v>
      </c>
      <c r="C16" s="123">
        <f>'MFPRSI Supplemental info 2019'!D16</f>
        <v>2.3883405155981719E-3</v>
      </c>
      <c r="D16" s="123">
        <v>2.3828787794019277E-3</v>
      </c>
      <c r="E16" s="128">
        <f>'MFPRSI Supplemental info 2019'!W16</f>
        <v>1566576</v>
      </c>
      <c r="F16" s="128">
        <f t="shared" si="0"/>
        <v>1562994</v>
      </c>
      <c r="G16" s="128">
        <f t="shared" si="1"/>
        <v>-3582</v>
      </c>
      <c r="H16" s="128">
        <f t="shared" si="2"/>
        <v>184796</v>
      </c>
      <c r="I16" s="128">
        <f t="shared" si="3"/>
        <v>184796</v>
      </c>
      <c r="J16" s="128">
        <f t="shared" si="4"/>
        <v>0</v>
      </c>
      <c r="K16" s="122">
        <f t="shared" si="5"/>
        <v>-676</v>
      </c>
      <c r="L16" s="122">
        <f t="shared" si="6"/>
        <v>0</v>
      </c>
      <c r="M16" s="122">
        <f t="shared" si="7"/>
        <v>-2906</v>
      </c>
      <c r="N16" s="107"/>
      <c r="O16" s="122">
        <v>52256</v>
      </c>
      <c r="P16" s="128">
        <v>47080</v>
      </c>
      <c r="Q16" s="122">
        <v>327280</v>
      </c>
      <c r="R16" s="107"/>
      <c r="S16" s="128">
        <v>-10324</v>
      </c>
      <c r="T16" s="122">
        <v>-2268</v>
      </c>
      <c r="U16" s="128">
        <v>-47682</v>
      </c>
      <c r="V16" s="107"/>
      <c r="W16" s="128">
        <v>1900586</v>
      </c>
      <c r="X16" s="111"/>
      <c r="Y16" s="128">
        <v>353028</v>
      </c>
      <c r="AA16" s="40"/>
    </row>
    <row r="17" spans="1:27" ht="20.100000000000001" customHeight="1" x14ac:dyDescent="0.25">
      <c r="A17" s="119">
        <v>111</v>
      </c>
      <c r="B17" s="63" t="s">
        <v>114</v>
      </c>
      <c r="C17" s="123">
        <f>'MFPRSI Supplemental info 2019'!D17</f>
        <v>3.1569707614633917E-3</v>
      </c>
      <c r="D17" s="123">
        <v>3.1443409091928458E-3</v>
      </c>
      <c r="E17" s="128">
        <f>'MFPRSI Supplemental info 2019'!W17</f>
        <v>2070741</v>
      </c>
      <c r="F17" s="128">
        <f t="shared" si="0"/>
        <v>2062457</v>
      </c>
      <c r="G17" s="128">
        <f t="shared" si="1"/>
        <v>-8284</v>
      </c>
      <c r="H17" s="128">
        <f t="shared" si="2"/>
        <v>243848</v>
      </c>
      <c r="I17" s="128">
        <f t="shared" si="3"/>
        <v>243848</v>
      </c>
      <c r="J17" s="128">
        <f t="shared" si="4"/>
        <v>0</v>
      </c>
      <c r="K17" s="122">
        <f t="shared" si="5"/>
        <v>-1563</v>
      </c>
      <c r="L17" s="122">
        <f t="shared" si="6"/>
        <v>0</v>
      </c>
      <c r="M17" s="122">
        <f t="shared" si="7"/>
        <v>-6721</v>
      </c>
      <c r="N17" s="107"/>
      <c r="O17" s="122">
        <v>68954</v>
      </c>
      <c r="P17" s="128">
        <v>62124</v>
      </c>
      <c r="Q17" s="122">
        <v>431864</v>
      </c>
      <c r="R17" s="107"/>
      <c r="S17" s="128">
        <v>-13623</v>
      </c>
      <c r="T17" s="122">
        <v>-2992</v>
      </c>
      <c r="U17" s="128">
        <v>-62919</v>
      </c>
      <c r="V17" s="107"/>
      <c r="W17" s="128">
        <v>2507927</v>
      </c>
      <c r="X17" s="111"/>
      <c r="Y17" s="128">
        <v>465839</v>
      </c>
      <c r="AA17" s="40"/>
    </row>
    <row r="18" spans="1:27" ht="20.100000000000001" customHeight="1" x14ac:dyDescent="0.25">
      <c r="A18" s="119">
        <v>112</v>
      </c>
      <c r="B18" s="63" t="s">
        <v>115</v>
      </c>
      <c r="C18" s="123">
        <f>'MFPRSI Supplemental info 2019'!D18</f>
        <v>1.9541039509256408E-2</v>
      </c>
      <c r="D18" s="123">
        <v>1.9085091246391264E-2</v>
      </c>
      <c r="E18" s="128">
        <f>'MFPRSI Supplemental info 2019'!W18</f>
        <v>12817487</v>
      </c>
      <c r="F18" s="128">
        <f t="shared" si="0"/>
        <v>12518418</v>
      </c>
      <c r="G18" s="128">
        <f t="shared" si="1"/>
        <v>-299069</v>
      </c>
      <c r="H18" s="128">
        <f t="shared" si="2"/>
        <v>1480077</v>
      </c>
      <c r="I18" s="128">
        <f t="shared" si="3"/>
        <v>1480077</v>
      </c>
      <c r="J18" s="128">
        <f t="shared" si="4"/>
        <v>0</v>
      </c>
      <c r="K18" s="122">
        <f t="shared" si="5"/>
        <v>-56428</v>
      </c>
      <c r="L18" s="122">
        <f t="shared" si="6"/>
        <v>0</v>
      </c>
      <c r="M18" s="122">
        <f t="shared" si="7"/>
        <v>-242641</v>
      </c>
      <c r="N18" s="107"/>
      <c r="O18" s="122">
        <v>418530</v>
      </c>
      <c r="P18" s="128">
        <v>377073</v>
      </c>
      <c r="Q18" s="122">
        <v>2621271</v>
      </c>
      <c r="R18" s="107"/>
      <c r="S18" s="128">
        <v>-82688</v>
      </c>
      <c r="T18" s="122">
        <v>-18161</v>
      </c>
      <c r="U18" s="128">
        <v>-381894</v>
      </c>
      <c r="V18" s="107"/>
      <c r="W18" s="128">
        <v>15222273</v>
      </c>
      <c r="X18" s="111"/>
      <c r="Y18" s="128">
        <v>2827489</v>
      </c>
      <c r="AA18" s="40"/>
    </row>
    <row r="19" spans="1:27" ht="20.100000000000001" customHeight="1" x14ac:dyDescent="0.25">
      <c r="A19" s="119">
        <v>113</v>
      </c>
      <c r="B19" s="63" t="s">
        <v>116</v>
      </c>
      <c r="C19" s="123">
        <f>'MFPRSI Supplemental info 2019'!D19</f>
        <v>5.8666201094226449E-3</v>
      </c>
      <c r="D19" s="123">
        <v>6.1791510539530841E-3</v>
      </c>
      <c r="E19" s="128">
        <f>'MFPRSI Supplemental info 2019'!W19</f>
        <v>3848072</v>
      </c>
      <c r="F19" s="128">
        <f t="shared" si="0"/>
        <v>4053069</v>
      </c>
      <c r="G19" s="128">
        <f t="shared" si="1"/>
        <v>204997</v>
      </c>
      <c r="H19" s="128">
        <f t="shared" si="2"/>
        <v>479202</v>
      </c>
      <c r="I19" s="128">
        <f t="shared" si="3"/>
        <v>479202</v>
      </c>
      <c r="J19" s="128">
        <f t="shared" si="4"/>
        <v>0</v>
      </c>
      <c r="K19" s="122">
        <f t="shared" si="5"/>
        <v>38679</v>
      </c>
      <c r="L19" s="122">
        <f t="shared" si="6"/>
        <v>166318</v>
      </c>
      <c r="M19" s="122">
        <f t="shared" si="7"/>
        <v>0</v>
      </c>
      <c r="N19" s="107"/>
      <c r="O19" s="122">
        <v>135507</v>
      </c>
      <c r="P19" s="128">
        <v>122084</v>
      </c>
      <c r="Q19" s="122">
        <v>848685</v>
      </c>
      <c r="R19" s="107"/>
      <c r="S19" s="128">
        <v>-26772</v>
      </c>
      <c r="T19" s="122">
        <v>-5880</v>
      </c>
      <c r="U19" s="128">
        <v>-123645</v>
      </c>
      <c r="V19" s="107"/>
      <c r="W19" s="128">
        <v>4928492</v>
      </c>
      <c r="X19" s="111"/>
      <c r="Y19" s="128">
        <v>915452</v>
      </c>
      <c r="AA19" s="40"/>
    </row>
    <row r="20" spans="1:27" ht="20.100000000000001" customHeight="1" x14ac:dyDescent="0.25">
      <c r="A20" s="119">
        <v>114</v>
      </c>
      <c r="B20" s="63" t="s">
        <v>117</v>
      </c>
      <c r="C20" s="123">
        <f>'MFPRSI Supplemental info 2019'!D20</f>
        <v>5.7656929582311216E-2</v>
      </c>
      <c r="D20" s="123">
        <v>5.8375141530483045E-2</v>
      </c>
      <c r="E20" s="128">
        <f>'MFPRSI Supplemental info 2019'!W20</f>
        <v>37818712</v>
      </c>
      <c r="F20" s="128">
        <f t="shared" si="0"/>
        <v>38289806</v>
      </c>
      <c r="G20" s="128">
        <f t="shared" si="1"/>
        <v>471094</v>
      </c>
      <c r="H20" s="128">
        <f t="shared" si="2"/>
        <v>4527078</v>
      </c>
      <c r="I20" s="128">
        <f t="shared" si="3"/>
        <v>4527078</v>
      </c>
      <c r="J20" s="128">
        <f t="shared" si="4"/>
        <v>0</v>
      </c>
      <c r="K20" s="122">
        <f t="shared" si="5"/>
        <v>88886</v>
      </c>
      <c r="L20" s="122">
        <f t="shared" si="6"/>
        <v>382208</v>
      </c>
      <c r="M20" s="122">
        <f t="shared" si="7"/>
        <v>0</v>
      </c>
      <c r="N20" s="107"/>
      <c r="O20" s="122">
        <v>1280147</v>
      </c>
      <c r="P20" s="128">
        <v>1153346</v>
      </c>
      <c r="Q20" s="122">
        <v>8017623</v>
      </c>
      <c r="R20" s="107"/>
      <c r="S20" s="128">
        <v>-252917</v>
      </c>
      <c r="T20" s="122">
        <v>-55550</v>
      </c>
      <c r="U20" s="128">
        <v>-1168092</v>
      </c>
      <c r="V20" s="107"/>
      <c r="W20" s="128">
        <v>46560029</v>
      </c>
      <c r="X20" s="111"/>
      <c r="Y20" s="128">
        <v>8648379</v>
      </c>
      <c r="AA20" s="40"/>
    </row>
    <row r="21" spans="1:27" ht="20.100000000000001" customHeight="1" x14ac:dyDescent="0.25">
      <c r="A21" s="119">
        <v>115</v>
      </c>
      <c r="B21" s="63" t="s">
        <v>118</v>
      </c>
      <c r="C21" s="123">
        <f>'MFPRSI Supplemental info 2019'!D21</f>
        <v>2.7003297071809878E-3</v>
      </c>
      <c r="D21" s="123">
        <v>2.8551587915167558E-3</v>
      </c>
      <c r="E21" s="128">
        <f>'MFPRSI Supplemental info 2019'!W21</f>
        <v>1771218</v>
      </c>
      <c r="F21" s="128">
        <f t="shared" si="0"/>
        <v>1872775</v>
      </c>
      <c r="G21" s="128">
        <f t="shared" si="1"/>
        <v>101557</v>
      </c>
      <c r="H21" s="128">
        <f t="shared" si="2"/>
        <v>221422</v>
      </c>
      <c r="I21" s="128">
        <f t="shared" si="3"/>
        <v>221422</v>
      </c>
      <c r="J21" s="128">
        <f t="shared" si="4"/>
        <v>0</v>
      </c>
      <c r="K21" s="122">
        <f t="shared" si="5"/>
        <v>19162</v>
      </c>
      <c r="L21" s="122">
        <f t="shared" si="6"/>
        <v>82395</v>
      </c>
      <c r="M21" s="122">
        <f t="shared" si="7"/>
        <v>0</v>
      </c>
      <c r="N21" s="107"/>
      <c r="O21" s="122">
        <v>62613</v>
      </c>
      <c r="P21" s="128">
        <v>56411</v>
      </c>
      <c r="Q21" s="122">
        <v>392146</v>
      </c>
      <c r="R21" s="107"/>
      <c r="S21" s="128">
        <v>-12370</v>
      </c>
      <c r="T21" s="122">
        <v>-2717</v>
      </c>
      <c r="U21" s="128">
        <v>-57132</v>
      </c>
      <c r="V21" s="107"/>
      <c r="W21" s="128">
        <v>2277276</v>
      </c>
      <c r="X21" s="111"/>
      <c r="Y21" s="128">
        <v>422997</v>
      </c>
      <c r="AA21" s="40"/>
    </row>
    <row r="22" spans="1:27" ht="20.100000000000001" customHeight="1" x14ac:dyDescent="0.25">
      <c r="A22" s="119">
        <v>116</v>
      </c>
      <c r="B22" s="63" t="s">
        <v>119</v>
      </c>
      <c r="C22" s="123">
        <f>'MFPRSI Supplemental info 2019'!D22</f>
        <v>7.7798139931727628E-2</v>
      </c>
      <c r="D22" s="123">
        <v>7.7319679994158189E-2</v>
      </c>
      <c r="E22" s="128">
        <f>'MFPRSI Supplemental info 2019'!W22</f>
        <v>51029867</v>
      </c>
      <c r="F22" s="128">
        <f t="shared" si="0"/>
        <v>50716032</v>
      </c>
      <c r="G22" s="128">
        <f t="shared" si="1"/>
        <v>-313835</v>
      </c>
      <c r="H22" s="128">
        <f t="shared" si="2"/>
        <v>5996254</v>
      </c>
      <c r="I22" s="128">
        <f t="shared" si="3"/>
        <v>5996254</v>
      </c>
      <c r="J22" s="128">
        <f t="shared" si="4"/>
        <v>0</v>
      </c>
      <c r="K22" s="122">
        <f t="shared" si="5"/>
        <v>-59214</v>
      </c>
      <c r="L22" s="122">
        <f t="shared" si="6"/>
        <v>0</v>
      </c>
      <c r="M22" s="122">
        <f t="shared" si="7"/>
        <v>-254621</v>
      </c>
      <c r="N22" s="107"/>
      <c r="O22" s="122">
        <v>1695595</v>
      </c>
      <c r="P22" s="128">
        <v>1527642</v>
      </c>
      <c r="Q22" s="122">
        <v>10619590</v>
      </c>
      <c r="R22" s="107"/>
      <c r="S22" s="128">
        <v>-334996</v>
      </c>
      <c r="T22" s="122">
        <v>-73577</v>
      </c>
      <c r="U22" s="128">
        <v>-1547174</v>
      </c>
      <c r="V22" s="107"/>
      <c r="W22" s="128">
        <v>61670200</v>
      </c>
      <c r="X22" s="111"/>
      <c r="Y22" s="128">
        <v>11455046</v>
      </c>
      <c r="AA22" s="40"/>
    </row>
    <row r="23" spans="1:27" ht="20.100000000000001" customHeight="1" x14ac:dyDescent="0.25">
      <c r="A23" s="119">
        <v>117</v>
      </c>
      <c r="B23" s="63" t="s">
        <v>120</v>
      </c>
      <c r="C23" s="123">
        <f>'MFPRSI Supplemental info 2019'!D23</f>
        <v>3.0345393738731141E-3</v>
      </c>
      <c r="D23" s="123">
        <v>2.8575288787496579E-3</v>
      </c>
      <c r="E23" s="128">
        <f>'MFPRSI Supplemental info 2019'!W23</f>
        <v>1990435</v>
      </c>
      <c r="F23" s="128">
        <f t="shared" si="0"/>
        <v>1874329</v>
      </c>
      <c r="G23" s="128">
        <f t="shared" si="1"/>
        <v>-116106</v>
      </c>
      <c r="H23" s="128">
        <f t="shared" si="2"/>
        <v>221606</v>
      </c>
      <c r="I23" s="128">
        <f t="shared" si="3"/>
        <v>221606</v>
      </c>
      <c r="J23" s="128">
        <f t="shared" si="4"/>
        <v>0</v>
      </c>
      <c r="K23" s="122">
        <f t="shared" si="5"/>
        <v>-21907</v>
      </c>
      <c r="L23" s="122">
        <f t="shared" si="6"/>
        <v>0</v>
      </c>
      <c r="M23" s="122">
        <f t="shared" si="7"/>
        <v>-94199</v>
      </c>
      <c r="N23" s="107"/>
      <c r="O23" s="122">
        <v>62665</v>
      </c>
      <c r="P23" s="128">
        <v>56458</v>
      </c>
      <c r="Q23" s="122">
        <v>392472</v>
      </c>
      <c r="R23" s="107"/>
      <c r="S23" s="128">
        <v>-12381</v>
      </c>
      <c r="T23" s="122">
        <v>-2719</v>
      </c>
      <c r="U23" s="128">
        <v>-57179</v>
      </c>
      <c r="V23" s="107"/>
      <c r="W23" s="128">
        <v>2279167</v>
      </c>
      <c r="X23" s="111"/>
      <c r="Y23" s="128">
        <v>423348</v>
      </c>
      <c r="AA23" s="40"/>
    </row>
    <row r="24" spans="1:27" ht="20.100000000000001" customHeight="1" x14ac:dyDescent="0.25">
      <c r="A24" s="119">
        <v>118</v>
      </c>
      <c r="B24" s="63" t="s">
        <v>121</v>
      </c>
      <c r="C24" s="123">
        <f>'MFPRSI Supplemental info 2019'!D24</f>
        <v>0.18437169755811492</v>
      </c>
      <c r="D24" s="123">
        <v>0.18223014034898039</v>
      </c>
      <c r="E24" s="128">
        <f>'MFPRSI Supplemental info 2019'!W24</f>
        <v>120934295</v>
      </c>
      <c r="F24" s="128">
        <f t="shared" si="0"/>
        <v>119529591</v>
      </c>
      <c r="G24" s="128">
        <f t="shared" si="1"/>
        <v>-1404704</v>
      </c>
      <c r="H24" s="128">
        <f t="shared" si="2"/>
        <v>14132214</v>
      </c>
      <c r="I24" s="128">
        <f t="shared" si="3"/>
        <v>14132214</v>
      </c>
      <c r="J24" s="128">
        <f t="shared" si="4"/>
        <v>0</v>
      </c>
      <c r="K24" s="122">
        <f t="shared" si="5"/>
        <v>-265038</v>
      </c>
      <c r="L24" s="122">
        <f t="shared" si="6"/>
        <v>0</v>
      </c>
      <c r="M24" s="122">
        <f t="shared" si="7"/>
        <v>-1139666</v>
      </c>
      <c r="N24" s="107"/>
      <c r="O24" s="122">
        <v>3996245</v>
      </c>
      <c r="P24" s="128">
        <v>3600405</v>
      </c>
      <c r="Q24" s="122">
        <v>25028683</v>
      </c>
      <c r="R24" s="107"/>
      <c r="S24" s="128">
        <v>-789535</v>
      </c>
      <c r="T24" s="122">
        <v>-173412</v>
      </c>
      <c r="U24" s="128">
        <v>-3646444</v>
      </c>
      <c r="V24" s="107"/>
      <c r="W24" s="128">
        <v>145346816</v>
      </c>
      <c r="X24" s="111"/>
      <c r="Y24" s="128">
        <v>26997718</v>
      </c>
      <c r="AA24" s="40"/>
    </row>
    <row r="25" spans="1:27" ht="20.100000000000001" customHeight="1" x14ac:dyDescent="0.25">
      <c r="A25" s="119">
        <v>119</v>
      </c>
      <c r="B25" s="63" t="s">
        <v>122</v>
      </c>
      <c r="C25" s="123">
        <f>'MFPRSI Supplemental info 2019'!D25</f>
        <v>2.1145080342064937E-3</v>
      </c>
      <c r="D25" s="123">
        <v>2.1113794639495333E-3</v>
      </c>
      <c r="E25" s="128">
        <f>'MFPRSI Supplemental info 2019'!W25</f>
        <v>1386962</v>
      </c>
      <c r="F25" s="128">
        <f t="shared" si="0"/>
        <v>1384910</v>
      </c>
      <c r="G25" s="128">
        <f t="shared" si="1"/>
        <v>-2052</v>
      </c>
      <c r="H25" s="128">
        <f t="shared" si="2"/>
        <v>163741</v>
      </c>
      <c r="I25" s="128">
        <f t="shared" si="3"/>
        <v>163741</v>
      </c>
      <c r="J25" s="128">
        <f t="shared" si="4"/>
        <v>0</v>
      </c>
      <c r="K25" s="122">
        <f t="shared" si="5"/>
        <v>-387</v>
      </c>
      <c r="L25" s="122">
        <f t="shared" si="6"/>
        <v>0</v>
      </c>
      <c r="M25" s="122">
        <f t="shared" si="7"/>
        <v>-1665</v>
      </c>
      <c r="N25" s="107"/>
      <c r="O25" s="122">
        <v>46302</v>
      </c>
      <c r="P25" s="128">
        <v>41716</v>
      </c>
      <c r="Q25" s="122">
        <v>289991</v>
      </c>
      <c r="R25" s="107"/>
      <c r="S25" s="128">
        <v>-9148</v>
      </c>
      <c r="T25" s="122">
        <v>-2009</v>
      </c>
      <c r="U25" s="128">
        <v>-42249</v>
      </c>
      <c r="V25" s="107"/>
      <c r="W25" s="128">
        <v>1684036</v>
      </c>
      <c r="X25" s="111"/>
      <c r="Y25" s="128">
        <v>312805</v>
      </c>
      <c r="AA25" s="40"/>
    </row>
    <row r="26" spans="1:27" ht="20.100000000000001" customHeight="1" x14ac:dyDescent="0.25">
      <c r="A26" s="119">
        <v>120</v>
      </c>
      <c r="B26" s="63" t="s">
        <v>123</v>
      </c>
      <c r="C26" s="123">
        <f>'MFPRSI Supplemental info 2019'!D26</f>
        <v>4.6918660494144428E-2</v>
      </c>
      <c r="D26" s="123">
        <v>4.7312600420839991E-2</v>
      </c>
      <c r="E26" s="128">
        <f>'MFPRSI Supplemental info 2019'!W26</f>
        <v>30775196</v>
      </c>
      <c r="F26" s="128">
        <f t="shared" si="0"/>
        <v>31033592</v>
      </c>
      <c r="G26" s="128">
        <f t="shared" si="1"/>
        <v>258396</v>
      </c>
      <c r="H26" s="128">
        <f t="shared" si="2"/>
        <v>3669161</v>
      </c>
      <c r="I26" s="128">
        <f t="shared" si="3"/>
        <v>3669161</v>
      </c>
      <c r="J26" s="128">
        <f t="shared" si="4"/>
        <v>0</v>
      </c>
      <c r="K26" s="122">
        <f t="shared" si="5"/>
        <v>48754</v>
      </c>
      <c r="L26" s="122">
        <f t="shared" si="6"/>
        <v>209642</v>
      </c>
      <c r="M26" s="122">
        <f t="shared" si="7"/>
        <v>0</v>
      </c>
      <c r="N26" s="107"/>
      <c r="O26" s="122">
        <v>1037549</v>
      </c>
      <c r="P26" s="128">
        <v>934778</v>
      </c>
      <c r="Q26" s="122">
        <v>6498222</v>
      </c>
      <c r="R26" s="107"/>
      <c r="S26" s="128">
        <v>-204987</v>
      </c>
      <c r="T26" s="122">
        <v>-45023</v>
      </c>
      <c r="U26" s="128">
        <v>-946730</v>
      </c>
      <c r="V26" s="107"/>
      <c r="W26" s="128">
        <v>37736544</v>
      </c>
      <c r="X26" s="111"/>
      <c r="Y26" s="128">
        <v>7009444</v>
      </c>
      <c r="AA26" s="40"/>
    </row>
    <row r="27" spans="1:27" ht="20.100000000000001" customHeight="1" x14ac:dyDescent="0.25">
      <c r="A27" s="119">
        <v>121</v>
      </c>
      <c r="B27" s="63" t="s">
        <v>124</v>
      </c>
      <c r="C27" s="123">
        <f>'MFPRSI Supplemental info 2019'!D27</f>
        <v>2.3494901301977906E-3</v>
      </c>
      <c r="D27" s="123">
        <v>2.2544502676302191E-3</v>
      </c>
      <c r="E27" s="128">
        <f>'MFPRSI Supplemental info 2019'!W27</f>
        <v>1541093</v>
      </c>
      <c r="F27" s="128">
        <f t="shared" si="0"/>
        <v>1478754</v>
      </c>
      <c r="G27" s="128">
        <f t="shared" si="1"/>
        <v>-62339</v>
      </c>
      <c r="H27" s="128">
        <f t="shared" si="2"/>
        <v>174836</v>
      </c>
      <c r="I27" s="128">
        <f t="shared" si="3"/>
        <v>174836</v>
      </c>
      <c r="J27" s="128">
        <f t="shared" si="4"/>
        <v>0</v>
      </c>
      <c r="K27" s="122">
        <f t="shared" si="5"/>
        <v>-11762</v>
      </c>
      <c r="L27" s="122">
        <f t="shared" si="6"/>
        <v>0</v>
      </c>
      <c r="M27" s="122">
        <f t="shared" si="7"/>
        <v>-50577</v>
      </c>
      <c r="N27" s="107"/>
      <c r="O27" s="122">
        <v>49439</v>
      </c>
      <c r="P27" s="128">
        <v>44542</v>
      </c>
      <c r="Q27" s="122">
        <v>309641</v>
      </c>
      <c r="R27" s="107"/>
      <c r="S27" s="128">
        <v>-9768</v>
      </c>
      <c r="T27" s="122">
        <v>-2145</v>
      </c>
      <c r="U27" s="128">
        <v>-45112</v>
      </c>
      <c r="V27" s="107"/>
      <c r="W27" s="128">
        <v>1798150</v>
      </c>
      <c r="X27" s="111"/>
      <c r="Y27" s="128">
        <v>334001</v>
      </c>
      <c r="AA27" s="40"/>
    </row>
    <row r="28" spans="1:27" ht="20.100000000000001" customHeight="1" x14ac:dyDescent="0.25">
      <c r="A28" s="119">
        <v>122</v>
      </c>
      <c r="B28" s="63" t="s">
        <v>125</v>
      </c>
      <c r="C28" s="123">
        <f>'MFPRSI Supplemental info 2019'!D28</f>
        <v>1.3487805522938042E-3</v>
      </c>
      <c r="D28" s="123">
        <v>1.2834195480105155E-3</v>
      </c>
      <c r="E28" s="128">
        <f>'MFPRSI Supplemental info 2019'!W28</f>
        <v>884701</v>
      </c>
      <c r="F28" s="128">
        <f t="shared" si="0"/>
        <v>841829</v>
      </c>
      <c r="G28" s="128">
        <f t="shared" si="1"/>
        <v>-42872</v>
      </c>
      <c r="H28" s="128">
        <f t="shared" si="2"/>
        <v>99531</v>
      </c>
      <c r="I28" s="128">
        <f t="shared" si="3"/>
        <v>99531</v>
      </c>
      <c r="J28" s="128">
        <f t="shared" si="4"/>
        <v>0</v>
      </c>
      <c r="K28" s="122">
        <f t="shared" si="5"/>
        <v>-8089</v>
      </c>
      <c r="L28" s="122">
        <f t="shared" si="6"/>
        <v>0</v>
      </c>
      <c r="M28" s="122">
        <f t="shared" si="7"/>
        <v>-34783</v>
      </c>
      <c r="N28" s="107"/>
      <c r="O28" s="122">
        <v>28145</v>
      </c>
      <c r="P28" s="128">
        <v>25357</v>
      </c>
      <c r="Q28" s="122">
        <v>176273</v>
      </c>
      <c r="R28" s="107"/>
      <c r="S28" s="128">
        <v>-5561</v>
      </c>
      <c r="T28" s="122">
        <v>-1221</v>
      </c>
      <c r="U28" s="128">
        <v>-25681</v>
      </c>
      <c r="V28" s="107"/>
      <c r="W28" s="128">
        <v>1023656</v>
      </c>
      <c r="X28" s="111"/>
      <c r="Y28" s="128">
        <v>190141</v>
      </c>
      <c r="AA28" s="40"/>
    </row>
    <row r="29" spans="1:27" ht="20.100000000000001" customHeight="1" x14ac:dyDescent="0.25">
      <c r="A29" s="119">
        <v>123</v>
      </c>
      <c r="B29" s="63" t="s">
        <v>126</v>
      </c>
      <c r="C29" s="123">
        <f>'MFPRSI Supplemental info 2019'!D29</f>
        <v>2.9868404370123939E-3</v>
      </c>
      <c r="D29" s="123">
        <v>2.7521811766444428E-3</v>
      </c>
      <c r="E29" s="128">
        <f>'MFPRSI Supplemental info 2019'!W29</f>
        <v>1959148</v>
      </c>
      <c r="F29" s="128">
        <f t="shared" si="0"/>
        <v>1805229</v>
      </c>
      <c r="G29" s="128">
        <f t="shared" si="1"/>
        <v>-153919</v>
      </c>
      <c r="H29" s="128">
        <f t="shared" si="2"/>
        <v>213436</v>
      </c>
      <c r="I29" s="128">
        <f t="shared" si="3"/>
        <v>213436</v>
      </c>
      <c r="J29" s="128">
        <f t="shared" si="4"/>
        <v>0</v>
      </c>
      <c r="K29" s="122">
        <f t="shared" si="5"/>
        <v>-29041</v>
      </c>
      <c r="L29" s="122">
        <f t="shared" si="6"/>
        <v>0</v>
      </c>
      <c r="M29" s="122">
        <f t="shared" si="7"/>
        <v>-124878</v>
      </c>
      <c r="N29" s="107"/>
      <c r="O29" s="122">
        <v>60354</v>
      </c>
      <c r="P29" s="128">
        <v>54376</v>
      </c>
      <c r="Q29" s="122">
        <v>378002</v>
      </c>
      <c r="R29" s="107"/>
      <c r="S29" s="128">
        <v>-11924</v>
      </c>
      <c r="T29" s="122">
        <v>-2619</v>
      </c>
      <c r="U29" s="128">
        <v>-55071</v>
      </c>
      <c r="V29" s="107"/>
      <c r="W29" s="128">
        <v>2195140</v>
      </c>
      <c r="X29" s="111"/>
      <c r="Y29" s="128">
        <v>407740</v>
      </c>
      <c r="AA29" s="40"/>
    </row>
    <row r="30" spans="1:27" ht="20.100000000000001" customHeight="1" x14ac:dyDescent="0.25">
      <c r="A30" s="119">
        <v>124</v>
      </c>
      <c r="B30" s="63" t="s">
        <v>127</v>
      </c>
      <c r="C30" s="123">
        <f>'MFPRSI Supplemental info 2019'!D30</f>
        <v>1.5640159256912187E-2</v>
      </c>
      <c r="D30" s="123">
        <v>1.6175429891096379E-2</v>
      </c>
      <c r="E30" s="128">
        <f>'MFPRSI Supplemental info 2019'!W30</f>
        <v>10258796</v>
      </c>
      <c r="F30" s="128">
        <f t="shared" si="0"/>
        <v>10609894</v>
      </c>
      <c r="G30" s="128">
        <f t="shared" si="1"/>
        <v>351098</v>
      </c>
      <c r="H30" s="128">
        <f t="shared" si="2"/>
        <v>1254428</v>
      </c>
      <c r="I30" s="128">
        <f t="shared" si="3"/>
        <v>1254428</v>
      </c>
      <c r="J30" s="128">
        <f t="shared" si="4"/>
        <v>0</v>
      </c>
      <c r="K30" s="122">
        <f t="shared" si="5"/>
        <v>66245</v>
      </c>
      <c r="L30" s="122">
        <f t="shared" si="6"/>
        <v>284853</v>
      </c>
      <c r="M30" s="122">
        <f t="shared" si="7"/>
        <v>0</v>
      </c>
      <c r="N30" s="107"/>
      <c r="O30" s="122">
        <v>354722</v>
      </c>
      <c r="P30" s="128">
        <v>319586</v>
      </c>
      <c r="Q30" s="122">
        <v>2221639</v>
      </c>
      <c r="R30" s="107"/>
      <c r="S30" s="128">
        <v>-70082</v>
      </c>
      <c r="T30" s="122">
        <v>-15393</v>
      </c>
      <c r="U30" s="128">
        <v>-323672</v>
      </c>
      <c r="V30" s="107"/>
      <c r="W30" s="128">
        <v>12901528</v>
      </c>
      <c r="X30" s="111"/>
      <c r="Y30" s="128">
        <v>2396418</v>
      </c>
      <c r="AA30" s="40"/>
    </row>
    <row r="31" spans="1:27" ht="20.100000000000001" customHeight="1" x14ac:dyDescent="0.25">
      <c r="A31" s="119">
        <v>125</v>
      </c>
      <c r="B31" s="63" t="s">
        <v>128</v>
      </c>
      <c r="C31" s="123">
        <f>'MFPRSI Supplemental info 2019'!D31</f>
        <v>6.8975098948919084E-3</v>
      </c>
      <c r="D31" s="123">
        <v>6.7467413071031091E-3</v>
      </c>
      <c r="E31" s="128">
        <f>'MFPRSI Supplemental info 2019'!W31</f>
        <v>4524260</v>
      </c>
      <c r="F31" s="128">
        <f t="shared" si="0"/>
        <v>4425367</v>
      </c>
      <c r="G31" s="128">
        <f t="shared" si="1"/>
        <v>-98893</v>
      </c>
      <c r="H31" s="128">
        <f t="shared" si="2"/>
        <v>523220</v>
      </c>
      <c r="I31" s="128">
        <f t="shared" si="3"/>
        <v>523220</v>
      </c>
      <c r="J31" s="128">
        <f t="shared" si="4"/>
        <v>0</v>
      </c>
      <c r="K31" s="122">
        <f t="shared" si="5"/>
        <v>-18659</v>
      </c>
      <c r="L31" s="122">
        <f t="shared" si="6"/>
        <v>0</v>
      </c>
      <c r="M31" s="122">
        <f t="shared" si="7"/>
        <v>-80234</v>
      </c>
      <c r="N31" s="107"/>
      <c r="O31" s="122">
        <v>147954</v>
      </c>
      <c r="P31" s="128">
        <v>133299</v>
      </c>
      <c r="Q31" s="122">
        <v>926641</v>
      </c>
      <c r="R31" s="107"/>
      <c r="S31" s="128">
        <v>-29231</v>
      </c>
      <c r="T31" s="122">
        <v>-6420</v>
      </c>
      <c r="U31" s="128">
        <v>-135003</v>
      </c>
      <c r="V31" s="107"/>
      <c r="W31" s="128">
        <v>5381202</v>
      </c>
      <c r="X31" s="111"/>
      <c r="Y31" s="128">
        <v>999541</v>
      </c>
      <c r="AA31" s="40"/>
    </row>
    <row r="32" spans="1:27" ht="20.100000000000001" customHeight="1" x14ac:dyDescent="0.25">
      <c r="A32" s="119">
        <v>126</v>
      </c>
      <c r="B32" s="63" t="s">
        <v>129</v>
      </c>
      <c r="C32" s="123">
        <f>'MFPRSI Supplemental info 2019'!D32</f>
        <v>4.1054702268052204E-3</v>
      </c>
      <c r="D32" s="123">
        <v>3.8125198048250476E-3</v>
      </c>
      <c r="E32" s="128">
        <f>'MFPRSI Supplemental info 2019'!W32</f>
        <v>2692887</v>
      </c>
      <c r="F32" s="128">
        <f t="shared" si="0"/>
        <v>2500733</v>
      </c>
      <c r="G32" s="128">
        <f t="shared" si="1"/>
        <v>-192154</v>
      </c>
      <c r="H32" s="128">
        <f t="shared" si="2"/>
        <v>295666</v>
      </c>
      <c r="I32" s="128">
        <f t="shared" si="3"/>
        <v>295666</v>
      </c>
      <c r="J32" s="128">
        <f t="shared" si="4"/>
        <v>0</v>
      </c>
      <c r="K32" s="122">
        <f t="shared" si="5"/>
        <v>-36255</v>
      </c>
      <c r="L32" s="122">
        <f t="shared" si="6"/>
        <v>0</v>
      </c>
      <c r="M32" s="122">
        <f t="shared" si="7"/>
        <v>-155899</v>
      </c>
      <c r="N32" s="107"/>
      <c r="O32" s="122">
        <v>83607</v>
      </c>
      <c r="P32" s="128">
        <v>75326</v>
      </c>
      <c r="Q32" s="122">
        <v>523636</v>
      </c>
      <c r="R32" s="107"/>
      <c r="S32" s="128">
        <v>-16518</v>
      </c>
      <c r="T32" s="122">
        <v>-3628</v>
      </c>
      <c r="U32" s="128">
        <v>-76289</v>
      </c>
      <c r="V32" s="107"/>
      <c r="W32" s="128">
        <v>3040867</v>
      </c>
      <c r="X32" s="111"/>
      <c r="Y32" s="128">
        <v>564832</v>
      </c>
      <c r="AA32" s="40"/>
    </row>
    <row r="33" spans="1:27" ht="20.100000000000001" customHeight="1" x14ac:dyDescent="0.25">
      <c r="A33" s="119">
        <v>127</v>
      </c>
      <c r="B33" s="63" t="s">
        <v>130</v>
      </c>
      <c r="C33" s="123">
        <f>'MFPRSI Supplemental info 2019'!D33</f>
        <v>4.6272207034199278E-3</v>
      </c>
      <c r="D33" s="123">
        <v>4.8059294357673706E-3</v>
      </c>
      <c r="E33" s="128">
        <f>'MFPRSI Supplemental info 2019'!W33</f>
        <v>3035117</v>
      </c>
      <c r="F33" s="128">
        <f t="shared" si="0"/>
        <v>3152337</v>
      </c>
      <c r="G33" s="128">
        <f t="shared" si="1"/>
        <v>117220</v>
      </c>
      <c r="H33" s="128">
        <f t="shared" si="2"/>
        <v>372707</v>
      </c>
      <c r="I33" s="128">
        <f t="shared" si="3"/>
        <v>372707</v>
      </c>
      <c r="J33" s="128">
        <f t="shared" si="4"/>
        <v>0</v>
      </c>
      <c r="K33" s="122">
        <f t="shared" si="5"/>
        <v>22117</v>
      </c>
      <c r="L33" s="122">
        <f t="shared" si="6"/>
        <v>95103</v>
      </c>
      <c r="M33" s="122">
        <f t="shared" si="7"/>
        <v>0</v>
      </c>
      <c r="N33" s="107"/>
      <c r="O33" s="122">
        <v>105392</v>
      </c>
      <c r="P33" s="128">
        <v>94953</v>
      </c>
      <c r="Q33" s="122">
        <v>660078</v>
      </c>
      <c r="R33" s="107"/>
      <c r="S33" s="128">
        <v>-20822</v>
      </c>
      <c r="T33" s="122">
        <v>-4573</v>
      </c>
      <c r="U33" s="128">
        <v>-96167</v>
      </c>
      <c r="V33" s="107"/>
      <c r="W33" s="128">
        <v>3833211</v>
      </c>
      <c r="X33" s="111"/>
      <c r="Y33" s="128">
        <v>712007</v>
      </c>
      <c r="AA33" s="40"/>
    </row>
    <row r="34" spans="1:27" ht="20.100000000000001" customHeight="1" x14ac:dyDescent="0.25">
      <c r="A34" s="119">
        <v>128</v>
      </c>
      <c r="B34" s="63" t="s">
        <v>131</v>
      </c>
      <c r="C34" s="123">
        <f>'MFPRSI Supplemental info 2019'!D34</f>
        <v>3.68488000674356E-2</v>
      </c>
      <c r="D34" s="123">
        <v>3.6210790774254466E-2</v>
      </c>
      <c r="E34" s="128">
        <f>'MFPRSI Supplemental info 2019'!W34</f>
        <v>24170107</v>
      </c>
      <c r="F34" s="128">
        <f t="shared" si="0"/>
        <v>23751620</v>
      </c>
      <c r="G34" s="128">
        <f t="shared" si="1"/>
        <v>-418487</v>
      </c>
      <c r="H34" s="128">
        <f t="shared" si="2"/>
        <v>2808200</v>
      </c>
      <c r="I34" s="128">
        <f t="shared" si="3"/>
        <v>2808200</v>
      </c>
      <c r="J34" s="128">
        <f t="shared" si="4"/>
        <v>0</v>
      </c>
      <c r="K34" s="122">
        <f t="shared" si="5"/>
        <v>-78960</v>
      </c>
      <c r="L34" s="122">
        <f t="shared" si="6"/>
        <v>0</v>
      </c>
      <c r="M34" s="122">
        <f t="shared" si="7"/>
        <v>-339527</v>
      </c>
      <c r="N34" s="107"/>
      <c r="O34" s="122">
        <v>794090</v>
      </c>
      <c r="P34" s="128">
        <v>715434</v>
      </c>
      <c r="Q34" s="122">
        <v>4973427</v>
      </c>
      <c r="R34" s="107"/>
      <c r="S34" s="128">
        <v>-156887</v>
      </c>
      <c r="T34" s="122">
        <v>-34458</v>
      </c>
      <c r="U34" s="128">
        <v>-724581</v>
      </c>
      <c r="V34" s="107"/>
      <c r="W34" s="128">
        <v>28881737</v>
      </c>
      <c r="X34" s="111"/>
      <c r="Y34" s="128">
        <v>5364692</v>
      </c>
      <c r="AA34" s="40"/>
    </row>
    <row r="35" spans="1:27" ht="20.100000000000001" customHeight="1" x14ac:dyDescent="0.25">
      <c r="A35" s="119">
        <v>129</v>
      </c>
      <c r="B35" s="63" t="s">
        <v>132</v>
      </c>
      <c r="C35" s="123">
        <f>'MFPRSI Supplemental info 2019'!D35</f>
        <v>7.6678095349420128E-3</v>
      </c>
      <c r="D35" s="123">
        <v>7.4100604222736895E-3</v>
      </c>
      <c r="E35" s="128">
        <f>'MFPRSI Supplemental info 2019'!W35</f>
        <v>5029520</v>
      </c>
      <c r="F35" s="128">
        <f t="shared" si="0"/>
        <v>4860456</v>
      </c>
      <c r="G35" s="128">
        <f t="shared" si="1"/>
        <v>-169064</v>
      </c>
      <c r="H35" s="128">
        <f t="shared" si="2"/>
        <v>574661</v>
      </c>
      <c r="I35" s="128">
        <f t="shared" si="3"/>
        <v>574661</v>
      </c>
      <c r="J35" s="128">
        <f t="shared" si="4"/>
        <v>0</v>
      </c>
      <c r="K35" s="122">
        <f t="shared" si="5"/>
        <v>-31899</v>
      </c>
      <c r="L35" s="122">
        <f t="shared" si="6"/>
        <v>0</v>
      </c>
      <c r="M35" s="122">
        <f t="shared" si="7"/>
        <v>-137165</v>
      </c>
      <c r="N35" s="107"/>
      <c r="O35" s="122">
        <v>162500</v>
      </c>
      <c r="P35" s="128">
        <v>146404</v>
      </c>
      <c r="Q35" s="122">
        <v>1017746</v>
      </c>
      <c r="R35" s="107"/>
      <c r="S35" s="128">
        <v>-32105</v>
      </c>
      <c r="T35" s="122">
        <v>-7051</v>
      </c>
      <c r="U35" s="128">
        <v>-148276</v>
      </c>
      <c r="V35" s="107"/>
      <c r="W35" s="128">
        <v>5910266</v>
      </c>
      <c r="X35" s="111"/>
      <c r="Y35" s="128">
        <v>1097813</v>
      </c>
      <c r="AA35" s="40"/>
    </row>
    <row r="36" spans="1:27" ht="20.100000000000001" customHeight="1" x14ac:dyDescent="0.25">
      <c r="A36" s="119">
        <v>130</v>
      </c>
      <c r="B36" s="63" t="s">
        <v>133</v>
      </c>
      <c r="C36" s="123">
        <f>'MFPRSI Supplemental info 2019'!D36</f>
        <v>2.518300184909875E-3</v>
      </c>
      <c r="D36" s="123">
        <v>2.4642801021340778E-3</v>
      </c>
      <c r="E36" s="128">
        <f>'MFPRSI Supplemental info 2019'!W36</f>
        <v>1651820</v>
      </c>
      <c r="F36" s="128">
        <f t="shared" si="0"/>
        <v>1616387</v>
      </c>
      <c r="G36" s="128">
        <f t="shared" si="1"/>
        <v>-35433</v>
      </c>
      <c r="H36" s="128">
        <f t="shared" si="2"/>
        <v>191109</v>
      </c>
      <c r="I36" s="128">
        <f t="shared" si="3"/>
        <v>191109</v>
      </c>
      <c r="J36" s="128">
        <f t="shared" si="4"/>
        <v>0</v>
      </c>
      <c r="K36" s="122">
        <f t="shared" si="5"/>
        <v>-6685</v>
      </c>
      <c r="L36" s="122">
        <f t="shared" si="6"/>
        <v>0</v>
      </c>
      <c r="M36" s="122">
        <f t="shared" si="7"/>
        <v>-28748</v>
      </c>
      <c r="N36" s="107"/>
      <c r="O36" s="122">
        <v>54041</v>
      </c>
      <c r="P36" s="128">
        <v>48688</v>
      </c>
      <c r="Q36" s="122">
        <v>338460</v>
      </c>
      <c r="R36" s="107"/>
      <c r="S36" s="128">
        <v>-10677</v>
      </c>
      <c r="T36" s="122">
        <v>-2345</v>
      </c>
      <c r="U36" s="128">
        <v>-49310</v>
      </c>
      <c r="V36" s="107"/>
      <c r="W36" s="128">
        <v>1965510</v>
      </c>
      <c r="X36" s="111"/>
      <c r="Y36" s="128">
        <v>365087</v>
      </c>
      <c r="AA36" s="40"/>
    </row>
    <row r="37" spans="1:27" ht="20.100000000000001" customHeight="1" x14ac:dyDescent="0.25">
      <c r="A37" s="119">
        <v>131</v>
      </c>
      <c r="B37" s="67" t="s">
        <v>134</v>
      </c>
      <c r="C37" s="123">
        <f>'MFPRSI Supplemental info 2019'!D37</f>
        <v>3.2675197214034487E-3</v>
      </c>
      <c r="D37" s="123">
        <v>3.3518887871975631E-3</v>
      </c>
      <c r="E37" s="128">
        <f>'MFPRSI Supplemental info 2019'!W37</f>
        <v>2143253</v>
      </c>
      <c r="F37" s="128">
        <f t="shared" si="0"/>
        <v>2198593</v>
      </c>
      <c r="G37" s="128">
        <f t="shared" si="1"/>
        <v>55340</v>
      </c>
      <c r="H37" s="128">
        <f t="shared" si="2"/>
        <v>259944</v>
      </c>
      <c r="I37" s="128">
        <f t="shared" si="3"/>
        <v>259944</v>
      </c>
      <c r="J37" s="128">
        <f t="shared" si="4"/>
        <v>0</v>
      </c>
      <c r="K37" s="122">
        <f t="shared" si="5"/>
        <v>10442</v>
      </c>
      <c r="L37" s="122">
        <f t="shared" si="6"/>
        <v>44898</v>
      </c>
      <c r="M37" s="122">
        <f t="shared" si="7"/>
        <v>0</v>
      </c>
      <c r="N37" s="107"/>
      <c r="O37" s="122">
        <v>73506</v>
      </c>
      <c r="P37" s="128">
        <v>66225</v>
      </c>
      <c r="Q37" s="122">
        <v>460370</v>
      </c>
      <c r="R37" s="107"/>
      <c r="S37" s="128">
        <v>-14522</v>
      </c>
      <c r="T37" s="122">
        <v>-3190</v>
      </c>
      <c r="U37" s="128">
        <v>-67072</v>
      </c>
      <c r="V37" s="107"/>
      <c r="W37" s="128">
        <v>2673468</v>
      </c>
      <c r="X37" s="111"/>
      <c r="Y37" s="128">
        <v>496588</v>
      </c>
      <c r="AA37" s="40"/>
    </row>
    <row r="38" spans="1:27" ht="20.100000000000001" customHeight="1" x14ac:dyDescent="0.25">
      <c r="A38" s="119">
        <v>132</v>
      </c>
      <c r="B38" s="63" t="s">
        <v>135</v>
      </c>
      <c r="C38" s="123">
        <f>'MFPRSI Supplemental info 2019'!D38</f>
        <v>2.063349868664948E-3</v>
      </c>
      <c r="D38" s="123">
        <v>2.0712012919336066E-3</v>
      </c>
      <c r="E38" s="128">
        <f>'MFPRSI Supplemental info 2019'!W38</f>
        <v>1353406</v>
      </c>
      <c r="F38" s="128">
        <f t="shared" si="0"/>
        <v>1358556</v>
      </c>
      <c r="G38" s="128">
        <f t="shared" si="1"/>
        <v>5150</v>
      </c>
      <c r="H38" s="128">
        <f t="shared" si="2"/>
        <v>160625</v>
      </c>
      <c r="I38" s="128">
        <f t="shared" si="3"/>
        <v>160625</v>
      </c>
      <c r="J38" s="128">
        <f t="shared" si="4"/>
        <v>0</v>
      </c>
      <c r="K38" s="122">
        <f t="shared" si="5"/>
        <v>972</v>
      </c>
      <c r="L38" s="122">
        <f t="shared" si="6"/>
        <v>4178</v>
      </c>
      <c r="M38" s="122">
        <f t="shared" si="7"/>
        <v>0</v>
      </c>
      <c r="N38" s="107"/>
      <c r="O38" s="122">
        <v>45421</v>
      </c>
      <c r="P38" s="128">
        <v>40922</v>
      </c>
      <c r="Q38" s="122">
        <v>284472</v>
      </c>
      <c r="R38" s="107"/>
      <c r="S38" s="128">
        <v>-8974</v>
      </c>
      <c r="T38" s="122">
        <v>-1971</v>
      </c>
      <c r="U38" s="128">
        <v>-41445</v>
      </c>
      <c r="V38" s="107"/>
      <c r="W38" s="128">
        <v>1651990</v>
      </c>
      <c r="X38" s="111"/>
      <c r="Y38" s="128">
        <v>306852</v>
      </c>
      <c r="AA38" s="40"/>
    </row>
    <row r="39" spans="1:27" ht="20.100000000000001" customHeight="1" x14ac:dyDescent="0.25">
      <c r="A39" s="119">
        <v>133</v>
      </c>
      <c r="B39" s="67" t="s">
        <v>136</v>
      </c>
      <c r="C39" s="123">
        <f>'MFPRSI Supplemental info 2019'!D39</f>
        <v>2.0318440553976098E-2</v>
      </c>
      <c r="D39" s="123">
        <v>1.9892050867485762E-2</v>
      </c>
      <c r="E39" s="128">
        <f>'MFPRSI Supplemental info 2019'!W39</f>
        <v>13327405</v>
      </c>
      <c r="F39" s="128">
        <f t="shared" si="0"/>
        <v>13047725</v>
      </c>
      <c r="G39" s="128">
        <f t="shared" si="1"/>
        <v>-279680</v>
      </c>
      <c r="H39" s="128">
        <f t="shared" si="2"/>
        <v>1542658</v>
      </c>
      <c r="I39" s="128">
        <f t="shared" si="3"/>
        <v>1542658</v>
      </c>
      <c r="J39" s="128">
        <f t="shared" si="4"/>
        <v>0</v>
      </c>
      <c r="K39" s="122">
        <f t="shared" si="5"/>
        <v>-52770</v>
      </c>
      <c r="L39" s="122">
        <f t="shared" si="6"/>
        <v>0</v>
      </c>
      <c r="M39" s="122">
        <f t="shared" si="7"/>
        <v>-226910</v>
      </c>
      <c r="N39" s="107"/>
      <c r="O39" s="122">
        <v>436226</v>
      </c>
      <c r="P39" s="128">
        <v>393017</v>
      </c>
      <c r="Q39" s="122">
        <v>2732104</v>
      </c>
      <c r="R39" s="107"/>
      <c r="S39" s="128">
        <v>-86185</v>
      </c>
      <c r="T39" s="122">
        <v>-18929</v>
      </c>
      <c r="U39" s="128">
        <v>-398042</v>
      </c>
      <c r="V39" s="107"/>
      <c r="W39" s="128">
        <v>15865905</v>
      </c>
      <c r="X39" s="111"/>
      <c r="Y39" s="128">
        <v>2947042</v>
      </c>
      <c r="AA39" s="40"/>
    </row>
    <row r="40" spans="1:27" ht="20.100000000000001" customHeight="1" x14ac:dyDescent="0.25">
      <c r="A40" s="119">
        <v>134</v>
      </c>
      <c r="B40" s="63" t="s">
        <v>137</v>
      </c>
      <c r="C40" s="123">
        <f>'MFPRSI Supplemental info 2019'!D40</f>
        <v>1.4443080136916973E-2</v>
      </c>
      <c r="D40" s="123">
        <v>1.4260449767330928E-2</v>
      </c>
      <c r="E40" s="128">
        <f>'MFPRSI Supplemental info 2019'!W40</f>
        <v>9473600</v>
      </c>
      <c r="F40" s="128">
        <f t="shared" si="0"/>
        <v>9353808</v>
      </c>
      <c r="G40" s="128">
        <f t="shared" si="1"/>
        <v>-119792</v>
      </c>
      <c r="H40" s="128">
        <f t="shared" si="2"/>
        <v>1105919</v>
      </c>
      <c r="I40" s="128">
        <f t="shared" si="3"/>
        <v>1105919</v>
      </c>
      <c r="J40" s="128">
        <f t="shared" si="4"/>
        <v>0</v>
      </c>
      <c r="K40" s="122">
        <f t="shared" si="5"/>
        <v>-22602</v>
      </c>
      <c r="L40" s="122">
        <f t="shared" si="6"/>
        <v>0</v>
      </c>
      <c r="M40" s="122">
        <f t="shared" si="7"/>
        <v>-97190</v>
      </c>
      <c r="N40" s="107"/>
      <c r="O40" s="122">
        <v>312727</v>
      </c>
      <c r="P40" s="128">
        <v>281751</v>
      </c>
      <c r="Q40" s="122">
        <v>1958623</v>
      </c>
      <c r="R40" s="107"/>
      <c r="S40" s="128">
        <v>-61785</v>
      </c>
      <c r="T40" s="122">
        <v>-13570</v>
      </c>
      <c r="U40" s="128">
        <v>-285353</v>
      </c>
      <c r="V40" s="107"/>
      <c r="W40" s="128">
        <v>11374139</v>
      </c>
      <c r="X40" s="111"/>
      <c r="Y40" s="128">
        <v>2112711</v>
      </c>
      <c r="AA40" s="40"/>
    </row>
    <row r="41" spans="1:27" ht="20.100000000000001" customHeight="1" x14ac:dyDescent="0.25">
      <c r="A41" s="119">
        <v>135</v>
      </c>
      <c r="B41" s="67" t="s">
        <v>138</v>
      </c>
      <c r="C41" s="123">
        <f>'MFPRSI Supplemental info 2019'!D41</f>
        <v>1.9524470581401315E-2</v>
      </c>
      <c r="D41" s="123">
        <v>1.884519938909664E-2</v>
      </c>
      <c r="E41" s="128">
        <f>'MFPRSI Supplemental info 2019'!W41</f>
        <v>12806619</v>
      </c>
      <c r="F41" s="128">
        <f t="shared" si="0"/>
        <v>12361067</v>
      </c>
      <c r="G41" s="128">
        <f t="shared" si="1"/>
        <v>-445552</v>
      </c>
      <c r="H41" s="128">
        <f t="shared" si="2"/>
        <v>1461473</v>
      </c>
      <c r="I41" s="128">
        <f t="shared" si="3"/>
        <v>1461473</v>
      </c>
      <c r="J41" s="128">
        <f t="shared" si="4"/>
        <v>0</v>
      </c>
      <c r="K41" s="122">
        <f t="shared" si="5"/>
        <v>-84066</v>
      </c>
      <c r="L41" s="122">
        <f t="shared" si="6"/>
        <v>0</v>
      </c>
      <c r="M41" s="122">
        <f t="shared" si="7"/>
        <v>-361486</v>
      </c>
      <c r="N41" s="107"/>
      <c r="O41" s="122">
        <v>413269</v>
      </c>
      <c r="P41" s="128">
        <v>372334</v>
      </c>
      <c r="Q41" s="122">
        <v>2588323</v>
      </c>
      <c r="R41" s="107"/>
      <c r="S41" s="128">
        <v>-81649</v>
      </c>
      <c r="T41" s="122">
        <v>-17933</v>
      </c>
      <c r="U41" s="128">
        <v>-377094</v>
      </c>
      <c r="V41" s="107"/>
      <c r="W41" s="128">
        <v>15030937</v>
      </c>
      <c r="X41" s="111"/>
      <c r="Y41" s="128">
        <v>2791949</v>
      </c>
      <c r="AA41" s="40"/>
    </row>
    <row r="42" spans="1:27" ht="20.100000000000001" customHeight="1" x14ac:dyDescent="0.25">
      <c r="A42" s="119">
        <v>136</v>
      </c>
      <c r="B42" s="67" t="s">
        <v>139</v>
      </c>
      <c r="C42" s="123">
        <f>'MFPRSI Supplemental info 2019'!D42</f>
        <v>1.7681360304830099E-2</v>
      </c>
      <c r="D42" s="123">
        <v>1.7255418525379252E-2</v>
      </c>
      <c r="E42" s="128">
        <f>'MFPRSI Supplemental info 2019'!W42</f>
        <v>11597674</v>
      </c>
      <c r="F42" s="128">
        <f t="shared" si="0"/>
        <v>11318287</v>
      </c>
      <c r="G42" s="128">
        <f t="shared" si="1"/>
        <v>-279387</v>
      </c>
      <c r="H42" s="128">
        <f t="shared" si="2"/>
        <v>1338183</v>
      </c>
      <c r="I42" s="128">
        <f t="shared" si="3"/>
        <v>1338183</v>
      </c>
      <c r="J42" s="128">
        <f t="shared" si="4"/>
        <v>0</v>
      </c>
      <c r="K42" s="122">
        <f t="shared" si="5"/>
        <v>-52715</v>
      </c>
      <c r="L42" s="122">
        <f t="shared" si="6"/>
        <v>0</v>
      </c>
      <c r="M42" s="122">
        <f t="shared" si="7"/>
        <v>-226672</v>
      </c>
      <c r="N42" s="107"/>
      <c r="O42" s="122">
        <v>378406</v>
      </c>
      <c r="P42" s="128">
        <v>340924</v>
      </c>
      <c r="Q42" s="122">
        <v>2369972</v>
      </c>
      <c r="R42" s="107"/>
      <c r="S42" s="128">
        <v>-74761</v>
      </c>
      <c r="T42" s="122">
        <v>-16420</v>
      </c>
      <c r="U42" s="128">
        <v>-345283</v>
      </c>
      <c r="V42" s="107"/>
      <c r="W42" s="128">
        <v>13762928</v>
      </c>
      <c r="X42" s="111"/>
      <c r="Y42" s="128">
        <v>2556421</v>
      </c>
      <c r="AA42" s="40"/>
    </row>
    <row r="43" spans="1:27" ht="20.100000000000001" customHeight="1" x14ac:dyDescent="0.25">
      <c r="A43" s="119">
        <v>137</v>
      </c>
      <c r="B43" s="67" t="s">
        <v>140</v>
      </c>
      <c r="C43" s="123">
        <f>'MFPRSI Supplemental info 2019'!D43</f>
        <v>9.8543896611085445E-3</v>
      </c>
      <c r="D43" s="123">
        <v>1.0336970221175879E-2</v>
      </c>
      <c r="E43" s="128">
        <f>'MFPRSI Supplemental info 2019'!W43</f>
        <v>6463756</v>
      </c>
      <c r="F43" s="128">
        <f t="shared" si="0"/>
        <v>6780293</v>
      </c>
      <c r="G43" s="128">
        <f t="shared" si="1"/>
        <v>316537</v>
      </c>
      <c r="H43" s="128">
        <f t="shared" si="2"/>
        <v>801647</v>
      </c>
      <c r="I43" s="128">
        <f t="shared" si="3"/>
        <v>801647</v>
      </c>
      <c r="J43" s="128">
        <f t="shared" si="4"/>
        <v>0</v>
      </c>
      <c r="K43" s="122">
        <f t="shared" si="5"/>
        <v>59724</v>
      </c>
      <c r="L43" s="122">
        <f t="shared" si="6"/>
        <v>256813</v>
      </c>
      <c r="M43" s="122">
        <f t="shared" si="7"/>
        <v>0</v>
      </c>
      <c r="N43" s="107"/>
      <c r="O43" s="122">
        <v>226686</v>
      </c>
      <c r="P43" s="128">
        <v>204232</v>
      </c>
      <c r="Q43" s="122">
        <v>1419747</v>
      </c>
      <c r="R43" s="107"/>
      <c r="S43" s="128">
        <v>-44786</v>
      </c>
      <c r="T43" s="122">
        <v>-9837</v>
      </c>
      <c r="U43" s="128">
        <v>-206844</v>
      </c>
      <c r="V43" s="107"/>
      <c r="W43" s="128">
        <v>8244770</v>
      </c>
      <c r="X43" s="111"/>
      <c r="Y43" s="128">
        <v>1531440</v>
      </c>
      <c r="AA43" s="40"/>
    </row>
    <row r="44" spans="1:27" ht="20.100000000000001" customHeight="1" x14ac:dyDescent="0.25">
      <c r="A44" s="119">
        <v>138</v>
      </c>
      <c r="B44" s="67" t="s">
        <v>141</v>
      </c>
      <c r="C44" s="123">
        <f>'MFPRSI Supplemental info 2019'!D44</f>
        <v>2.0860200892395928E-3</v>
      </c>
      <c r="D44" s="123">
        <v>2.067981372625162E-3</v>
      </c>
      <c r="E44" s="128">
        <f>'MFPRSI Supplemental info 2019'!W44</f>
        <v>1368276</v>
      </c>
      <c r="F44" s="128">
        <f t="shared" si="0"/>
        <v>1356444</v>
      </c>
      <c r="G44" s="128">
        <f t="shared" si="1"/>
        <v>-11832</v>
      </c>
      <c r="H44" s="128">
        <f t="shared" si="2"/>
        <v>160375</v>
      </c>
      <c r="I44" s="128">
        <f t="shared" si="3"/>
        <v>160375</v>
      </c>
      <c r="J44" s="128">
        <f t="shared" si="4"/>
        <v>0</v>
      </c>
      <c r="K44" s="122">
        <f t="shared" si="5"/>
        <v>-2232</v>
      </c>
      <c r="L44" s="122">
        <f t="shared" si="6"/>
        <v>0</v>
      </c>
      <c r="M44" s="122">
        <f t="shared" si="7"/>
        <v>-9600</v>
      </c>
      <c r="N44" s="107"/>
      <c r="O44" s="122">
        <v>45350</v>
      </c>
      <c r="P44" s="128">
        <v>40858</v>
      </c>
      <c r="Q44" s="122">
        <v>284030</v>
      </c>
      <c r="R44" s="107"/>
      <c r="S44" s="128">
        <v>-8960</v>
      </c>
      <c r="T44" s="122">
        <v>-1968</v>
      </c>
      <c r="U44" s="128">
        <v>-41380</v>
      </c>
      <c r="V44" s="107"/>
      <c r="W44" s="128">
        <v>1649421</v>
      </c>
      <c r="X44" s="111"/>
      <c r="Y44" s="128">
        <v>306375</v>
      </c>
      <c r="AA44" s="40"/>
    </row>
    <row r="45" spans="1:27" ht="20.100000000000001" customHeight="1" x14ac:dyDescent="0.25">
      <c r="A45" s="119">
        <v>139</v>
      </c>
      <c r="B45" s="63" t="s">
        <v>142</v>
      </c>
      <c r="C45" s="123">
        <f>'MFPRSI Supplemental info 2019'!D45</f>
        <v>4.3113804710051317E-3</v>
      </c>
      <c r="D45" s="123">
        <v>4.6407094901770819E-3</v>
      </c>
      <c r="E45" s="128">
        <f>'MFPRSI Supplemental info 2019'!W45</f>
        <v>2827949</v>
      </c>
      <c r="F45" s="128">
        <f t="shared" si="0"/>
        <v>3043965</v>
      </c>
      <c r="G45" s="128">
        <f t="shared" si="1"/>
        <v>216016</v>
      </c>
      <c r="H45" s="128">
        <f t="shared" si="2"/>
        <v>359894</v>
      </c>
      <c r="I45" s="128">
        <f t="shared" si="3"/>
        <v>359894</v>
      </c>
      <c r="J45" s="128">
        <f t="shared" si="4"/>
        <v>0</v>
      </c>
      <c r="K45" s="122">
        <f t="shared" si="5"/>
        <v>40758</v>
      </c>
      <c r="L45" s="122">
        <f t="shared" si="6"/>
        <v>175258</v>
      </c>
      <c r="M45" s="122">
        <f t="shared" si="7"/>
        <v>0</v>
      </c>
      <c r="N45" s="107"/>
      <c r="O45" s="122">
        <v>101769</v>
      </c>
      <c r="P45" s="128">
        <v>91689</v>
      </c>
      <c r="Q45" s="122">
        <v>637385</v>
      </c>
      <c r="R45" s="107"/>
      <c r="S45" s="128">
        <v>-20106</v>
      </c>
      <c r="T45" s="122">
        <v>-4416</v>
      </c>
      <c r="U45" s="128">
        <v>-92861</v>
      </c>
      <c r="V45" s="107"/>
      <c r="W45" s="128">
        <v>3701432</v>
      </c>
      <c r="X45" s="111"/>
      <c r="Y45" s="128">
        <v>687529</v>
      </c>
      <c r="AA45" s="40"/>
    </row>
    <row r="46" spans="1:27" ht="20.100000000000001" customHeight="1" x14ac:dyDescent="0.25">
      <c r="A46" s="119">
        <v>140</v>
      </c>
      <c r="B46" s="67" t="s">
        <v>143</v>
      </c>
      <c r="C46" s="123">
        <f>'MFPRSI Supplemental info 2019'!D46</f>
        <v>1.4231390282347291E-2</v>
      </c>
      <c r="D46" s="123">
        <v>1.5125440329080159E-2</v>
      </c>
      <c r="E46" s="128">
        <f>'MFPRSI Supplemental info 2019'!W46</f>
        <v>9334747</v>
      </c>
      <c r="F46" s="128">
        <f t="shared" si="0"/>
        <v>9921178</v>
      </c>
      <c r="G46" s="128">
        <f t="shared" si="1"/>
        <v>586431</v>
      </c>
      <c r="H46" s="128">
        <f t="shared" si="2"/>
        <v>1173000</v>
      </c>
      <c r="I46" s="128">
        <f t="shared" si="3"/>
        <v>1173000</v>
      </c>
      <c r="J46" s="128">
        <f t="shared" si="4"/>
        <v>0</v>
      </c>
      <c r="K46" s="122">
        <f t="shared" si="5"/>
        <v>110647</v>
      </c>
      <c r="L46" s="122">
        <f t="shared" si="6"/>
        <v>475784</v>
      </c>
      <c r="M46" s="122">
        <f t="shared" si="7"/>
        <v>0</v>
      </c>
      <c r="N46" s="107"/>
      <c r="O46" s="122">
        <v>331696</v>
      </c>
      <c r="P46" s="128">
        <v>298841</v>
      </c>
      <c r="Q46" s="122">
        <v>2077427</v>
      </c>
      <c r="R46" s="107"/>
      <c r="S46" s="128">
        <v>-65533</v>
      </c>
      <c r="T46" s="122">
        <v>-14393</v>
      </c>
      <c r="U46" s="128">
        <v>-302661</v>
      </c>
      <c r="V46" s="107"/>
      <c r="W46" s="128">
        <v>12064055</v>
      </c>
      <c r="X46" s="111"/>
      <c r="Y46" s="128">
        <v>2240860</v>
      </c>
      <c r="AA46" s="40"/>
    </row>
    <row r="47" spans="1:27" ht="20.100000000000001" customHeight="1" x14ac:dyDescent="0.25">
      <c r="A47" s="119">
        <v>141</v>
      </c>
      <c r="B47" s="68" t="s">
        <v>144</v>
      </c>
      <c r="C47" s="123">
        <f>'MFPRSI Supplemental info 2019'!D47</f>
        <v>3.5484505583429113E-3</v>
      </c>
      <c r="D47" s="123">
        <v>3.6047484524597247E-3</v>
      </c>
      <c r="E47" s="128">
        <f>'MFPRSI Supplemental info 2019'!W47</f>
        <v>2327523</v>
      </c>
      <c r="F47" s="128">
        <f t="shared" si="0"/>
        <v>2364450</v>
      </c>
      <c r="G47" s="128">
        <f t="shared" si="1"/>
        <v>36927</v>
      </c>
      <c r="H47" s="128">
        <f t="shared" si="2"/>
        <v>279554</v>
      </c>
      <c r="I47" s="128">
        <f t="shared" si="3"/>
        <v>279554</v>
      </c>
      <c r="J47" s="128">
        <f t="shared" si="4"/>
        <v>0</v>
      </c>
      <c r="K47" s="122">
        <f t="shared" si="5"/>
        <v>6967</v>
      </c>
      <c r="L47" s="122">
        <f t="shared" si="6"/>
        <v>29960</v>
      </c>
      <c r="M47" s="122">
        <f t="shared" si="7"/>
        <v>0</v>
      </c>
      <c r="N47" s="107"/>
      <c r="O47" s="122">
        <v>79051</v>
      </c>
      <c r="P47" s="128">
        <v>71221</v>
      </c>
      <c r="Q47" s="122">
        <v>495100</v>
      </c>
      <c r="R47" s="107"/>
      <c r="S47" s="128">
        <v>-15618</v>
      </c>
      <c r="T47" s="122">
        <v>-3430</v>
      </c>
      <c r="U47" s="128">
        <v>-72131</v>
      </c>
      <c r="V47" s="107"/>
      <c r="W47" s="128">
        <v>2875150</v>
      </c>
      <c r="X47" s="111"/>
      <c r="Y47" s="128">
        <v>534050</v>
      </c>
      <c r="AA47" s="40"/>
    </row>
    <row r="48" spans="1:27" ht="20.100000000000001" customHeight="1" x14ac:dyDescent="0.25">
      <c r="A48" s="119">
        <v>142</v>
      </c>
      <c r="B48" s="63" t="s">
        <v>145</v>
      </c>
      <c r="C48" s="123">
        <f>'MFPRSI Supplemental info 2019'!D48</f>
        <v>6.2324020602373249E-2</v>
      </c>
      <c r="D48" s="123">
        <v>6.0615569568866809E-2</v>
      </c>
      <c r="E48" s="128">
        <f>'MFPRSI Supplemental info 2019'!W48</f>
        <v>40879981</v>
      </c>
      <c r="F48" s="128">
        <f t="shared" si="0"/>
        <v>39759363</v>
      </c>
      <c r="G48" s="128">
        <f t="shared" si="1"/>
        <v>-1120618</v>
      </c>
      <c r="H48" s="128">
        <f t="shared" si="2"/>
        <v>4700826</v>
      </c>
      <c r="I48" s="128">
        <f t="shared" si="3"/>
        <v>4700826</v>
      </c>
      <c r="J48" s="128">
        <f t="shared" si="4"/>
        <v>0</v>
      </c>
      <c r="K48" s="122">
        <f t="shared" si="5"/>
        <v>-211437</v>
      </c>
      <c r="L48" s="122">
        <f t="shared" si="6"/>
        <v>0</v>
      </c>
      <c r="M48" s="122">
        <f t="shared" si="7"/>
        <v>-909181</v>
      </c>
      <c r="N48" s="107"/>
      <c r="O48" s="122">
        <v>1329279</v>
      </c>
      <c r="P48" s="128">
        <v>1197611</v>
      </c>
      <c r="Q48" s="122">
        <v>8325339</v>
      </c>
      <c r="R48" s="107"/>
      <c r="S48" s="128">
        <v>-262624</v>
      </c>
      <c r="T48" s="122">
        <v>-57682</v>
      </c>
      <c r="U48" s="128">
        <v>-1212923</v>
      </c>
      <c r="V48" s="107"/>
      <c r="W48" s="128">
        <v>48346997</v>
      </c>
      <c r="X48" s="111"/>
      <c r="Y48" s="128">
        <v>8980303</v>
      </c>
      <c r="AA48" s="40"/>
    </row>
    <row r="49" spans="1:27" ht="20.100000000000001" customHeight="1" x14ac:dyDescent="0.25">
      <c r="A49" s="119">
        <v>143</v>
      </c>
      <c r="B49" s="63" t="s">
        <v>146</v>
      </c>
      <c r="C49" s="123">
        <f>'MFPRSI Supplemental info 2019'!D49</f>
        <v>4.7551496576135792E-3</v>
      </c>
      <c r="D49" s="123">
        <v>4.9906199784661995E-3</v>
      </c>
      <c r="E49" s="128">
        <f>'MFPRSI Supplemental info 2019'!W49</f>
        <v>3119029</v>
      </c>
      <c r="F49" s="128">
        <f t="shared" si="0"/>
        <v>3273480</v>
      </c>
      <c r="G49" s="128">
        <f t="shared" si="1"/>
        <v>154451</v>
      </c>
      <c r="H49" s="128">
        <f t="shared" si="2"/>
        <v>387030</v>
      </c>
      <c r="I49" s="128">
        <f t="shared" si="3"/>
        <v>387030</v>
      </c>
      <c r="J49" s="128">
        <f t="shared" si="4"/>
        <v>0</v>
      </c>
      <c r="K49" s="122">
        <f t="shared" si="5"/>
        <v>29142</v>
      </c>
      <c r="L49" s="122">
        <f t="shared" si="6"/>
        <v>125309</v>
      </c>
      <c r="M49" s="122">
        <f t="shared" si="7"/>
        <v>0</v>
      </c>
      <c r="N49" s="107"/>
      <c r="O49" s="122">
        <v>109443</v>
      </c>
      <c r="P49" s="128">
        <v>98602</v>
      </c>
      <c r="Q49" s="122">
        <v>685444</v>
      </c>
      <c r="R49" s="107"/>
      <c r="S49" s="128">
        <v>-21622</v>
      </c>
      <c r="T49" s="122">
        <v>-4749</v>
      </c>
      <c r="U49" s="128">
        <v>-99863</v>
      </c>
      <c r="V49" s="107"/>
      <c r="W49" s="128">
        <v>3980520</v>
      </c>
      <c r="X49" s="111"/>
      <c r="Y49" s="128">
        <v>739369</v>
      </c>
      <c r="AA49" s="40"/>
    </row>
    <row r="50" spans="1:27" ht="20.100000000000001" customHeight="1" x14ac:dyDescent="0.25">
      <c r="A50" s="119">
        <v>144</v>
      </c>
      <c r="B50" s="63" t="s">
        <v>147</v>
      </c>
      <c r="C50" s="123">
        <f>'MFPRSI Supplemental info 2019'!D50</f>
        <v>3.7785296664816148E-3</v>
      </c>
      <c r="D50" s="123">
        <v>3.7706104933959783E-3</v>
      </c>
      <c r="E50" s="128">
        <f>'MFPRSI Supplemental info 2019'!W50</f>
        <v>2478438</v>
      </c>
      <c r="F50" s="128">
        <f t="shared" si="0"/>
        <v>2473244</v>
      </c>
      <c r="G50" s="128">
        <f t="shared" si="1"/>
        <v>-5194</v>
      </c>
      <c r="H50" s="128">
        <f t="shared" si="2"/>
        <v>292416</v>
      </c>
      <c r="I50" s="128">
        <f t="shared" si="3"/>
        <v>292416</v>
      </c>
      <c r="J50" s="128">
        <f t="shared" si="4"/>
        <v>0</v>
      </c>
      <c r="K50" s="122">
        <f t="shared" si="5"/>
        <v>-980</v>
      </c>
      <c r="L50" s="122">
        <f t="shared" si="6"/>
        <v>0</v>
      </c>
      <c r="M50" s="122">
        <f t="shared" si="7"/>
        <v>-4214</v>
      </c>
      <c r="N50" s="107"/>
      <c r="O50" s="122">
        <v>82688</v>
      </c>
      <c r="P50" s="128">
        <v>74498</v>
      </c>
      <c r="Q50" s="122">
        <v>517880</v>
      </c>
      <c r="R50" s="107"/>
      <c r="S50" s="128">
        <v>-16337</v>
      </c>
      <c r="T50" s="122">
        <v>-3588</v>
      </c>
      <c r="U50" s="128">
        <v>-75450</v>
      </c>
      <c r="V50" s="107"/>
      <c r="W50" s="128">
        <v>3007440</v>
      </c>
      <c r="X50" s="111"/>
      <c r="Y50" s="128">
        <v>558622</v>
      </c>
      <c r="AA50" s="40"/>
    </row>
    <row r="51" spans="1:27" ht="20.100000000000001" customHeight="1" x14ac:dyDescent="0.25">
      <c r="A51" s="119">
        <v>145</v>
      </c>
      <c r="B51" s="63" t="s">
        <v>148</v>
      </c>
      <c r="C51" s="123">
        <f>'MFPRSI Supplemental info 2019'!D51</f>
        <v>2.1816120395635324E-2</v>
      </c>
      <c r="D51" s="123">
        <v>2.3192071570339381E-2</v>
      </c>
      <c r="E51" s="128">
        <f>'MFPRSI Supplemental info 2019'!W51</f>
        <v>14309773</v>
      </c>
      <c r="F51" s="128">
        <f t="shared" si="0"/>
        <v>15212296</v>
      </c>
      <c r="G51" s="128">
        <f t="shared" si="1"/>
        <v>902523</v>
      </c>
      <c r="H51" s="128">
        <f t="shared" si="2"/>
        <v>1798579</v>
      </c>
      <c r="I51" s="128">
        <f t="shared" si="3"/>
        <v>1798579</v>
      </c>
      <c r="J51" s="128">
        <f t="shared" si="4"/>
        <v>0</v>
      </c>
      <c r="K51" s="122">
        <f t="shared" si="5"/>
        <v>170287</v>
      </c>
      <c r="L51" s="122">
        <f t="shared" si="6"/>
        <v>732236</v>
      </c>
      <c r="M51" s="122">
        <f t="shared" si="7"/>
        <v>0</v>
      </c>
      <c r="N51" s="107"/>
      <c r="O51" s="122">
        <v>508594</v>
      </c>
      <c r="P51" s="128">
        <v>458217</v>
      </c>
      <c r="Q51" s="122">
        <v>3185351</v>
      </c>
      <c r="R51" s="107"/>
      <c r="S51" s="128">
        <v>-100482</v>
      </c>
      <c r="T51" s="122">
        <v>-22070</v>
      </c>
      <c r="U51" s="128">
        <v>-464076</v>
      </c>
      <c r="V51" s="107"/>
      <c r="W51" s="128">
        <v>18498002</v>
      </c>
      <c r="X51" s="111"/>
      <c r="Y51" s="128">
        <v>3435946</v>
      </c>
      <c r="AA51" s="40"/>
    </row>
    <row r="52" spans="1:27" ht="20.100000000000001" customHeight="1" x14ac:dyDescent="0.25">
      <c r="A52" s="119">
        <v>146</v>
      </c>
      <c r="B52" s="63" t="s">
        <v>149</v>
      </c>
      <c r="C52" s="123">
        <f>'MFPRSI Supplemental info 2019'!D52</f>
        <v>5.5821449733041685E-2</v>
      </c>
      <c r="D52" s="123">
        <v>5.4712850003930474E-2</v>
      </c>
      <c r="E52" s="128">
        <f>'MFPRSI Supplemental info 2019'!W52</f>
        <v>36614772</v>
      </c>
      <c r="F52" s="128">
        <f t="shared" si="0"/>
        <v>35887612</v>
      </c>
      <c r="G52" s="128">
        <f t="shared" si="1"/>
        <v>-727160</v>
      </c>
      <c r="H52" s="128">
        <f t="shared" si="2"/>
        <v>4243061</v>
      </c>
      <c r="I52" s="128">
        <f t="shared" si="3"/>
        <v>4243061</v>
      </c>
      <c r="J52" s="128">
        <f t="shared" si="4"/>
        <v>0</v>
      </c>
      <c r="K52" s="122">
        <f t="shared" si="5"/>
        <v>-137200</v>
      </c>
      <c r="L52" s="122">
        <f t="shared" si="6"/>
        <v>0</v>
      </c>
      <c r="M52" s="122">
        <f t="shared" si="7"/>
        <v>-589960</v>
      </c>
      <c r="N52" s="107"/>
      <c r="O52" s="122">
        <v>1199834</v>
      </c>
      <c r="P52" s="128">
        <v>1080988</v>
      </c>
      <c r="Q52" s="122">
        <v>7514621</v>
      </c>
      <c r="R52" s="107"/>
      <c r="S52" s="128">
        <v>-237050</v>
      </c>
      <c r="T52" s="122">
        <v>-52065</v>
      </c>
      <c r="U52" s="128">
        <v>-1094809</v>
      </c>
      <c r="V52" s="107"/>
      <c r="W52" s="128">
        <v>43638986</v>
      </c>
      <c r="X52" s="111"/>
      <c r="Y52" s="128">
        <v>8105804</v>
      </c>
      <c r="AA52" s="40"/>
    </row>
    <row r="53" spans="1:27" ht="20.100000000000001" customHeight="1" x14ac:dyDescent="0.25">
      <c r="A53" s="119">
        <v>147</v>
      </c>
      <c r="B53" s="63" t="s">
        <v>150</v>
      </c>
      <c r="C53" s="123">
        <f>'MFPRSI Supplemental info 2019'!D53</f>
        <v>3.6548893020980828E-3</v>
      </c>
      <c r="D53" s="123">
        <v>3.4900085321566622E-3</v>
      </c>
      <c r="E53" s="128">
        <f>'MFPRSI Supplemental info 2019'!W53</f>
        <v>2397339</v>
      </c>
      <c r="F53" s="128">
        <f t="shared" si="0"/>
        <v>2289189</v>
      </c>
      <c r="G53" s="128">
        <f t="shared" si="1"/>
        <v>-108150</v>
      </c>
      <c r="H53" s="128">
        <f t="shared" si="2"/>
        <v>270655</v>
      </c>
      <c r="I53" s="128">
        <f t="shared" si="3"/>
        <v>270655</v>
      </c>
      <c r="J53" s="128">
        <f t="shared" si="4"/>
        <v>0</v>
      </c>
      <c r="K53" s="122">
        <f t="shared" si="5"/>
        <v>-20406</v>
      </c>
      <c r="L53" s="122">
        <f t="shared" si="6"/>
        <v>0</v>
      </c>
      <c r="M53" s="122">
        <f t="shared" si="7"/>
        <v>-87744</v>
      </c>
      <c r="N53" s="107"/>
      <c r="O53" s="122">
        <v>76535</v>
      </c>
      <c r="P53" s="128">
        <v>68954</v>
      </c>
      <c r="Q53" s="122">
        <v>479341</v>
      </c>
      <c r="R53" s="107"/>
      <c r="S53" s="128">
        <v>-15121</v>
      </c>
      <c r="T53" s="122">
        <v>-3321</v>
      </c>
      <c r="U53" s="128">
        <v>-69835</v>
      </c>
      <c r="V53" s="107"/>
      <c r="W53" s="128">
        <v>2783633</v>
      </c>
      <c r="X53" s="111"/>
      <c r="Y53" s="128">
        <v>517051</v>
      </c>
      <c r="AA53" s="40"/>
    </row>
    <row r="54" spans="1:27" ht="20.100000000000001" customHeight="1" x14ac:dyDescent="0.25">
      <c r="A54" s="119">
        <v>148</v>
      </c>
      <c r="B54" s="63" t="s">
        <v>151</v>
      </c>
      <c r="C54" s="123">
        <f>'MFPRSI Supplemental info 2019'!D54</f>
        <v>2.8528605006088721E-3</v>
      </c>
      <c r="D54" s="123">
        <v>2.7856204950539379E-3</v>
      </c>
      <c r="E54" s="128">
        <f>'MFPRSI Supplemental info 2019'!W54</f>
        <v>1871267</v>
      </c>
      <c r="F54" s="128">
        <f t="shared" si="0"/>
        <v>1827162</v>
      </c>
      <c r="G54" s="128">
        <f t="shared" si="1"/>
        <v>-44105</v>
      </c>
      <c r="H54" s="128">
        <f t="shared" si="2"/>
        <v>216029</v>
      </c>
      <c r="I54" s="128">
        <f t="shared" si="3"/>
        <v>216029</v>
      </c>
      <c r="J54" s="128">
        <f t="shared" si="4"/>
        <v>0</v>
      </c>
      <c r="K54" s="122">
        <f t="shared" si="5"/>
        <v>-8322</v>
      </c>
      <c r="L54" s="122">
        <f t="shared" si="6"/>
        <v>0</v>
      </c>
      <c r="M54" s="122">
        <f t="shared" si="7"/>
        <v>-35783</v>
      </c>
      <c r="N54" s="107"/>
      <c r="O54" s="122">
        <v>61088</v>
      </c>
      <c r="P54" s="128">
        <v>55037</v>
      </c>
      <c r="Q54" s="122">
        <v>382595</v>
      </c>
      <c r="R54" s="107"/>
      <c r="S54" s="128">
        <v>-12069</v>
      </c>
      <c r="T54" s="122">
        <v>-2651</v>
      </c>
      <c r="U54" s="128">
        <v>-55741</v>
      </c>
      <c r="V54" s="107"/>
      <c r="W54" s="128">
        <v>2221811</v>
      </c>
      <c r="X54" s="111"/>
      <c r="Y54" s="128">
        <v>412694</v>
      </c>
      <c r="AA54" s="40"/>
    </row>
    <row r="55" spans="1:27" ht="19.5" customHeight="1" x14ac:dyDescent="0.25">
      <c r="A55" s="119">
        <v>149</v>
      </c>
      <c r="B55" s="63" t="s">
        <v>152</v>
      </c>
      <c r="C55" s="123">
        <f>'MFPRSI Supplemental info 2019'!D55</f>
        <v>3.489693066542026E-2</v>
      </c>
      <c r="D55" s="123">
        <v>3.6799129520152546E-2</v>
      </c>
      <c r="E55" s="128">
        <f>'MFPRSI Supplemental info 2019'!W55</f>
        <v>22889824</v>
      </c>
      <c r="F55" s="128">
        <f>ROUND($E$57*D55,0)</f>
        <v>24137527</v>
      </c>
      <c r="G55" s="128">
        <f t="shared" si="1"/>
        <v>1247703</v>
      </c>
      <c r="H55" s="128">
        <f t="shared" si="2"/>
        <v>2853826</v>
      </c>
      <c r="I55" s="128">
        <f t="shared" si="3"/>
        <v>2853826</v>
      </c>
      <c r="J55" s="128">
        <f t="shared" si="4"/>
        <v>0</v>
      </c>
      <c r="K55" s="122">
        <f t="shared" si="5"/>
        <v>235416</v>
      </c>
      <c r="L55" s="122">
        <f t="shared" si="6"/>
        <v>1012287</v>
      </c>
      <c r="M55" s="122">
        <f t="shared" si="7"/>
        <v>0</v>
      </c>
      <c r="N55" s="107"/>
      <c r="O55" s="122">
        <v>806993</v>
      </c>
      <c r="P55" s="128">
        <v>727058</v>
      </c>
      <c r="Q55" s="122">
        <v>5054233</v>
      </c>
      <c r="R55" s="107"/>
      <c r="S55" s="128">
        <v>-159436</v>
      </c>
      <c r="T55" s="122">
        <v>-35018</v>
      </c>
      <c r="U55" s="128">
        <v>-736354</v>
      </c>
      <c r="V55" s="107"/>
      <c r="W55" s="128">
        <v>29350997</v>
      </c>
      <c r="X55" s="111"/>
      <c r="Y55" s="128">
        <v>5451855</v>
      </c>
      <c r="AA55" s="40"/>
    </row>
    <row r="56" spans="1:27" x14ac:dyDescent="0.25">
      <c r="A56" s="106"/>
      <c r="B56" s="107"/>
      <c r="C56" s="110"/>
      <c r="D56" s="108"/>
      <c r="E56" s="112"/>
      <c r="F56" s="108"/>
      <c r="G56" s="108"/>
      <c r="H56" s="108"/>
      <c r="I56" s="108"/>
      <c r="J56" s="108"/>
      <c r="K56" s="107"/>
      <c r="L56" s="107"/>
      <c r="M56" s="107"/>
      <c r="N56" s="107"/>
      <c r="O56" s="107"/>
      <c r="P56" s="109"/>
      <c r="Q56" s="107"/>
      <c r="R56" s="107"/>
      <c r="S56" s="107"/>
      <c r="T56" s="107"/>
      <c r="U56" s="111"/>
      <c r="V56" s="107"/>
      <c r="W56" s="109"/>
      <c r="X56" s="109"/>
      <c r="Y56" s="111"/>
    </row>
    <row r="57" spans="1:27" x14ac:dyDescent="0.25">
      <c r="A57" s="106"/>
      <c r="B57" s="68"/>
      <c r="C57" s="131">
        <f t="shared" ref="C57:I57" si="8">SUM(C7:C56)</f>
        <v>1.0000000000000002</v>
      </c>
      <c r="D57" s="131">
        <f t="shared" si="8"/>
        <v>1</v>
      </c>
      <c r="E57" s="128">
        <f>SUM(E7:E56)+E61</f>
        <v>655926570</v>
      </c>
      <c r="F57" s="128">
        <f>SUM(F7:F56)+F61</f>
        <v>655926570</v>
      </c>
      <c r="G57" s="128">
        <f>SUM(G7:G56)+G61</f>
        <v>0</v>
      </c>
      <c r="H57" s="128">
        <f>SUM(H7:H56)+H61</f>
        <v>77551465</v>
      </c>
      <c r="I57" s="132">
        <f t="shared" si="8"/>
        <v>77551465</v>
      </c>
      <c r="J57" s="121">
        <f>SUM(J7:J56)</f>
        <v>0</v>
      </c>
      <c r="K57" s="49"/>
      <c r="L57" s="128">
        <f t="shared" ref="L57" si="9">SUM(L7:L56)</f>
        <v>5675749</v>
      </c>
      <c r="M57" s="128">
        <f>SUM(M7:M56)</f>
        <v>-5675751</v>
      </c>
      <c r="N57" s="107"/>
      <c r="O57" s="128">
        <f>SUM(O7:O56)</f>
        <v>21929665</v>
      </c>
      <c r="P57" s="128">
        <f>SUM(P7:P56)</f>
        <v>19757480</v>
      </c>
      <c r="Q57" s="128">
        <f>SUM(Q7:Q56)</f>
        <v>137346538</v>
      </c>
      <c r="R57" s="107"/>
      <c r="S57" s="128">
        <f>SUM(S7:S56)+S61</f>
        <v>-4332616</v>
      </c>
      <c r="T57" s="128">
        <f>SUM(T7:T56)+T61</f>
        <v>-951599</v>
      </c>
      <c r="U57" s="128">
        <f>SUM(U7:U56)+U61</f>
        <v>-20010094</v>
      </c>
      <c r="V57" s="111"/>
      <c r="W57" s="128">
        <f>SUM(W7:W56)+W61</f>
        <v>797600299</v>
      </c>
      <c r="X57" s="111"/>
      <c r="Y57" s="128">
        <f>SUM(Y7:Y56)+Y61</f>
        <v>148151748</v>
      </c>
      <c r="AA57" s="40"/>
    </row>
    <row r="58" spans="1:27" x14ac:dyDescent="0.25">
      <c r="A58" s="106"/>
      <c r="B58" s="68"/>
      <c r="C58" s="131"/>
      <c r="D58" s="131"/>
      <c r="E58" s="128"/>
      <c r="F58" s="128"/>
      <c r="G58" s="121"/>
      <c r="H58" s="132"/>
      <c r="I58" s="121"/>
      <c r="J58" s="121"/>
      <c r="K58" s="121"/>
      <c r="L58" s="128"/>
      <c r="M58" s="128"/>
      <c r="N58" s="107"/>
      <c r="O58" s="111"/>
      <c r="P58" s="111"/>
      <c r="Q58" s="111"/>
      <c r="R58" s="107"/>
      <c r="S58" s="111"/>
      <c r="T58" s="111"/>
      <c r="U58" s="111"/>
      <c r="V58" s="111"/>
      <c r="W58" s="111"/>
      <c r="X58" s="111"/>
      <c r="Y58" s="111"/>
    </row>
    <row r="59" spans="1:27" x14ac:dyDescent="0.25">
      <c r="A59" s="106"/>
      <c r="B59" s="68"/>
      <c r="C59" s="123"/>
      <c r="D59" s="121"/>
      <c r="E59" s="128"/>
      <c r="F59" s="128"/>
      <c r="G59" s="121"/>
      <c r="H59" s="121"/>
      <c r="I59" s="121"/>
      <c r="J59" s="121"/>
      <c r="K59" s="121"/>
      <c r="L59" s="128"/>
      <c r="M59" s="128"/>
      <c r="N59" s="107"/>
      <c r="O59" s="130" t="s">
        <v>60</v>
      </c>
      <c r="P59" s="68"/>
      <c r="Q59" s="131"/>
      <c r="R59" s="131"/>
      <c r="S59" s="132"/>
      <c r="T59" s="132"/>
      <c r="U59" s="121">
        <v>5.3</v>
      </c>
      <c r="V59" s="133" t="s">
        <v>61</v>
      </c>
      <c r="W59" s="128"/>
      <c r="X59" s="111"/>
      <c r="Y59" s="111"/>
    </row>
    <row r="60" spans="1:27" x14ac:dyDescent="0.25">
      <c r="A60" s="106"/>
      <c r="B60" s="68"/>
      <c r="C60" s="123"/>
      <c r="D60" s="121"/>
      <c r="E60" s="68"/>
      <c r="F60" s="68"/>
      <c r="G60" s="121"/>
      <c r="H60" s="121"/>
      <c r="I60" s="121"/>
      <c r="J60" s="121"/>
      <c r="K60" s="68"/>
      <c r="L60" s="68"/>
      <c r="M60" s="68"/>
      <c r="N60" s="107"/>
      <c r="O60" s="130" t="s">
        <v>196</v>
      </c>
      <c r="P60" s="122"/>
      <c r="Q60" s="68"/>
      <c r="R60" s="68"/>
      <c r="S60" s="68"/>
      <c r="T60" s="68"/>
      <c r="U60" s="134">
        <v>77551461</v>
      </c>
      <c r="V60" s="107"/>
      <c r="W60" s="107"/>
      <c r="X60" s="107"/>
      <c r="Y60" s="107"/>
    </row>
    <row r="61" spans="1:27" x14ac:dyDescent="0.25">
      <c r="A61" s="106"/>
      <c r="B61" s="68" t="s">
        <v>153</v>
      </c>
      <c r="C61" s="123"/>
      <c r="D61" s="121"/>
      <c r="E61" s="68">
        <v>1</v>
      </c>
      <c r="F61" s="68">
        <v>0</v>
      </c>
      <c r="G61" s="121">
        <v>-1</v>
      </c>
      <c r="H61" s="121">
        <v>0</v>
      </c>
      <c r="I61" s="121"/>
      <c r="J61" s="121"/>
      <c r="K61" s="68">
        <v>-3</v>
      </c>
      <c r="L61" s="68"/>
      <c r="M61" s="68"/>
      <c r="N61" s="107"/>
      <c r="O61" s="107"/>
      <c r="P61" s="109"/>
      <c r="Q61" s="107"/>
      <c r="R61" s="107"/>
      <c r="S61" s="68">
        <v>0</v>
      </c>
      <c r="T61" s="68">
        <v>0</v>
      </c>
      <c r="U61" s="128">
        <v>0</v>
      </c>
      <c r="V61" s="68"/>
      <c r="W61" s="68">
        <v>0</v>
      </c>
      <c r="X61" s="68"/>
      <c r="Y61" s="68">
        <v>0</v>
      </c>
    </row>
  </sheetData>
  <mergeCells count="3">
    <mergeCell ref="K3:M3"/>
    <mergeCell ref="O3:Q3"/>
    <mergeCell ref="S3:U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60F6E-AA19-4F57-A23E-88F8B4F374D7}">
  <dimension ref="A1:AA61"/>
  <sheetViews>
    <sheetView workbookViewId="0">
      <pane xSplit="2" ySplit="6" topLeftCell="C37" activePane="bottomRight" state="frozen"/>
      <selection pane="topRight" activeCell="C1" sqref="C1"/>
      <selection pane="bottomLeft" activeCell="A7" sqref="A7"/>
      <selection pane="bottomRight" activeCell="U60" sqref="U60"/>
    </sheetView>
  </sheetViews>
  <sheetFormatPr defaultRowHeight="15" x14ac:dyDescent="0.25"/>
  <cols>
    <col min="1" max="1" width="3.5703125" style="46" bestFit="1" customWidth="1"/>
    <col min="2" max="2" width="15" style="50" bestFit="1" customWidth="1"/>
    <col min="3" max="3" width="10.7109375" style="85" bestFit="1" customWidth="1"/>
    <col min="4" max="4" width="10.7109375" style="90" bestFit="1" customWidth="1"/>
    <col min="5" max="5" width="11.140625" style="90" bestFit="1" customWidth="1"/>
    <col min="6" max="6" width="10.7109375" style="90" bestFit="1" customWidth="1"/>
    <col min="7" max="7" width="9.7109375" style="90" bestFit="1" customWidth="1"/>
    <col min="8" max="9" width="9.85546875" style="90" bestFit="1" customWidth="1"/>
    <col min="10" max="10" width="11.140625" style="90" customWidth="1"/>
    <col min="11" max="11" width="8.7109375" style="50" bestFit="1" customWidth="1"/>
    <col min="12" max="12" width="9.28515625" style="50" bestFit="1" customWidth="1"/>
    <col min="13" max="13" width="9.7109375" style="50" bestFit="1" customWidth="1"/>
    <col min="14" max="14" width="0.85546875" style="50" customWidth="1"/>
    <col min="15" max="15" width="10.7109375" style="50" bestFit="1" customWidth="1"/>
    <col min="16" max="16" width="12.42578125" style="51" bestFit="1" customWidth="1"/>
    <col min="17" max="17" width="10.7109375" style="50" customWidth="1"/>
    <col min="18" max="18" width="2.28515625" style="50" customWidth="1"/>
    <col min="19" max="19" width="10.7109375" style="50" bestFit="1" customWidth="1"/>
    <col min="20" max="20" width="11.7109375" style="50" customWidth="1"/>
    <col min="21" max="21" width="12.7109375" style="50" bestFit="1" customWidth="1"/>
    <col min="22" max="22" width="2.28515625" style="50" customWidth="1"/>
    <col min="23" max="23" width="12.7109375" style="50" bestFit="1" customWidth="1"/>
    <col min="24" max="24" width="2.28515625" style="50" customWidth="1"/>
    <col min="25" max="25" width="11.140625" style="50" bestFit="1" customWidth="1"/>
    <col min="27" max="27" width="11.28515625" bestFit="1" customWidth="1"/>
  </cols>
  <sheetData>
    <row r="1" spans="1:27" x14ac:dyDescent="0.25">
      <c r="A1" s="119"/>
      <c r="B1" s="68"/>
      <c r="C1" s="120" t="s">
        <v>157</v>
      </c>
      <c r="D1" s="121"/>
      <c r="E1" s="121"/>
      <c r="F1" s="121"/>
      <c r="G1" s="121"/>
      <c r="H1" s="121"/>
      <c r="I1" s="121"/>
      <c r="J1" s="121"/>
      <c r="K1" s="68"/>
      <c r="L1" s="68"/>
      <c r="M1" s="68"/>
      <c r="N1" s="68"/>
      <c r="O1" s="120" t="s">
        <v>158</v>
      </c>
      <c r="P1" s="122"/>
      <c r="Q1" s="68"/>
      <c r="R1" s="68"/>
      <c r="S1" s="68"/>
      <c r="T1" s="68"/>
      <c r="U1" s="68"/>
      <c r="V1" s="68"/>
      <c r="W1" s="68"/>
      <c r="X1" s="68"/>
      <c r="Y1" s="68"/>
    </row>
    <row r="2" spans="1:27" x14ac:dyDescent="0.25">
      <c r="A2" s="119"/>
      <c r="B2" s="68"/>
      <c r="C2" s="123"/>
      <c r="D2" s="121"/>
      <c r="E2" s="121"/>
      <c r="F2" s="121"/>
      <c r="G2" s="121"/>
      <c r="H2" s="121"/>
      <c r="I2" s="121"/>
      <c r="J2" s="121"/>
      <c r="K2" s="68"/>
      <c r="L2" s="68"/>
      <c r="M2" s="68"/>
      <c r="N2" s="68"/>
      <c r="O2" s="68"/>
      <c r="P2" s="122"/>
      <c r="Q2" s="68"/>
      <c r="R2" s="68"/>
      <c r="S2" s="68"/>
      <c r="T2" s="68"/>
      <c r="U2" s="68"/>
      <c r="V2" s="68"/>
      <c r="W2" s="68"/>
      <c r="X2" s="68"/>
      <c r="Y2" s="68"/>
    </row>
    <row r="3" spans="1:27" x14ac:dyDescent="0.25">
      <c r="A3" s="119"/>
      <c r="B3" s="68"/>
      <c r="C3" s="123"/>
      <c r="D3" s="121"/>
      <c r="E3" s="121"/>
      <c r="F3" s="121"/>
      <c r="G3" s="121"/>
      <c r="H3" s="115" t="s">
        <v>78</v>
      </c>
      <c r="I3" s="121"/>
      <c r="J3" s="121"/>
      <c r="K3" s="168" t="s">
        <v>79</v>
      </c>
      <c r="L3" s="168"/>
      <c r="M3" s="168"/>
      <c r="N3" s="68"/>
      <c r="O3" s="169" t="s">
        <v>27</v>
      </c>
      <c r="P3" s="169"/>
      <c r="Q3" s="169"/>
      <c r="R3" s="68"/>
      <c r="S3" s="169" t="s">
        <v>30</v>
      </c>
      <c r="T3" s="169"/>
      <c r="U3" s="169"/>
      <c r="V3" s="68"/>
      <c r="W3" s="68"/>
      <c r="X3" s="68"/>
      <c r="Y3" s="68"/>
    </row>
    <row r="4" spans="1:27" x14ac:dyDescent="0.25">
      <c r="A4" s="119"/>
      <c r="B4" s="68"/>
      <c r="C4" s="113">
        <v>43281</v>
      </c>
      <c r="D4" s="113">
        <v>43646</v>
      </c>
      <c r="E4" s="113">
        <v>43281</v>
      </c>
      <c r="F4" s="121"/>
      <c r="G4" s="115" t="s">
        <v>80</v>
      </c>
      <c r="H4" s="115" t="s">
        <v>49</v>
      </c>
      <c r="I4" s="115" t="s">
        <v>49</v>
      </c>
      <c r="J4" s="115" t="s">
        <v>81</v>
      </c>
      <c r="K4" s="68"/>
      <c r="L4" s="68"/>
      <c r="M4" s="68"/>
      <c r="N4" s="68"/>
      <c r="O4" s="115" t="s">
        <v>82</v>
      </c>
      <c r="P4" s="122"/>
      <c r="Q4" s="115" t="s">
        <v>83</v>
      </c>
      <c r="R4" s="115"/>
      <c r="S4" s="115" t="s">
        <v>82</v>
      </c>
      <c r="T4" s="68"/>
      <c r="U4" s="115" t="s">
        <v>83</v>
      </c>
      <c r="V4" s="115"/>
      <c r="W4" s="115" t="s">
        <v>159</v>
      </c>
      <c r="X4" s="115"/>
      <c r="Y4" s="119" t="s">
        <v>84</v>
      </c>
    </row>
    <row r="5" spans="1:27" x14ac:dyDescent="0.25">
      <c r="A5" s="119" t="s">
        <v>154</v>
      </c>
      <c r="B5" s="68"/>
      <c r="C5" s="114" t="s">
        <v>85</v>
      </c>
      <c r="D5" s="114" t="s">
        <v>85</v>
      </c>
      <c r="E5" s="115" t="s">
        <v>86</v>
      </c>
      <c r="F5" s="115" t="s">
        <v>87</v>
      </c>
      <c r="G5" s="115" t="s">
        <v>85</v>
      </c>
      <c r="H5" s="115" t="s">
        <v>88</v>
      </c>
      <c r="I5" s="115" t="s">
        <v>88</v>
      </c>
      <c r="J5" s="115" t="s">
        <v>89</v>
      </c>
      <c r="K5" s="115" t="s">
        <v>90</v>
      </c>
      <c r="L5" s="119" t="s">
        <v>91</v>
      </c>
      <c r="M5" s="119" t="s">
        <v>91</v>
      </c>
      <c r="N5" s="68"/>
      <c r="O5" s="119" t="s">
        <v>92</v>
      </c>
      <c r="P5" s="124" t="s">
        <v>160</v>
      </c>
      <c r="Q5" s="119" t="s">
        <v>92</v>
      </c>
      <c r="R5" s="119"/>
      <c r="S5" s="119" t="s">
        <v>92</v>
      </c>
      <c r="T5" s="115" t="s">
        <v>160</v>
      </c>
      <c r="U5" s="119" t="s">
        <v>92</v>
      </c>
      <c r="V5" s="119"/>
      <c r="W5" s="115" t="s">
        <v>87</v>
      </c>
      <c r="X5" s="115"/>
      <c r="Y5" s="119" t="s">
        <v>90</v>
      </c>
    </row>
    <row r="6" spans="1:27" ht="20.100000000000001" customHeight="1" x14ac:dyDescent="0.35">
      <c r="A6" s="125" t="s">
        <v>155</v>
      </c>
      <c r="B6" s="57" t="s">
        <v>93</v>
      </c>
      <c r="C6" s="116" t="s">
        <v>94</v>
      </c>
      <c r="D6" s="116" t="s">
        <v>94</v>
      </c>
      <c r="E6" s="117" t="s">
        <v>95</v>
      </c>
      <c r="F6" s="118">
        <v>43281</v>
      </c>
      <c r="G6" s="117" t="s">
        <v>96</v>
      </c>
      <c r="H6" s="117" t="s">
        <v>97</v>
      </c>
      <c r="I6" s="117" t="s">
        <v>97</v>
      </c>
      <c r="J6" s="117" t="s">
        <v>98</v>
      </c>
      <c r="K6" s="117" t="s">
        <v>56</v>
      </c>
      <c r="L6" s="117" t="s">
        <v>99</v>
      </c>
      <c r="M6" s="126" t="s">
        <v>100</v>
      </c>
      <c r="N6" s="68"/>
      <c r="O6" s="126" t="s">
        <v>101</v>
      </c>
      <c r="P6" s="127" t="s">
        <v>102</v>
      </c>
      <c r="Q6" s="126" t="s">
        <v>103</v>
      </c>
      <c r="R6" s="126"/>
      <c r="S6" s="126" t="s">
        <v>101</v>
      </c>
      <c r="T6" s="126" t="s">
        <v>102</v>
      </c>
      <c r="U6" s="126" t="s">
        <v>103</v>
      </c>
      <c r="V6" s="126"/>
      <c r="W6" s="118">
        <v>43646</v>
      </c>
      <c r="X6" s="118"/>
      <c r="Y6" s="126" t="s">
        <v>56</v>
      </c>
    </row>
    <row r="7" spans="1:27" ht="20.100000000000001" customHeight="1" x14ac:dyDescent="0.25">
      <c r="A7" s="119">
        <v>101</v>
      </c>
      <c r="B7" s="63" t="s">
        <v>104</v>
      </c>
      <c r="C7" s="123">
        <f>'MFPRSI Supplemental Info 2018'!D7</f>
        <v>2.7197689220117047E-2</v>
      </c>
      <c r="D7" s="123">
        <v>2.6635319905756096E-2</v>
      </c>
      <c r="E7" s="128">
        <f>'MFPRSI Supplemental Info 2018'!W7</f>
        <v>16193599</v>
      </c>
      <c r="F7" s="128">
        <f>ROUND($E$57*D7,0)</f>
        <v>15858762</v>
      </c>
      <c r="G7" s="128">
        <f>F7-E7</f>
        <v>-334837</v>
      </c>
      <c r="H7" s="128">
        <f>ROUND(D7*$U$60,0)</f>
        <v>2097958</v>
      </c>
      <c r="I7" s="128">
        <f>H7</f>
        <v>2097958</v>
      </c>
      <c r="J7" s="128">
        <f>H7-I7</f>
        <v>0</v>
      </c>
      <c r="K7" s="122">
        <f>ROUND((G7+J7)/$U$59,0)</f>
        <v>-63177</v>
      </c>
      <c r="L7" s="129">
        <f>IF(K7&lt;0,0,G7+J7-K7)</f>
        <v>0</v>
      </c>
      <c r="M7" s="122">
        <f>IF(G7&lt;0,(G7+J7-K7),0)</f>
        <v>-271660</v>
      </c>
      <c r="N7" s="107"/>
      <c r="O7" s="122">
        <v>601603</v>
      </c>
      <c r="P7" s="128">
        <v>877178</v>
      </c>
      <c r="Q7" s="122">
        <v>2012494</v>
      </c>
      <c r="R7" s="107"/>
      <c r="S7" s="128">
        <v>-163484.21147436</v>
      </c>
      <c r="T7" s="122">
        <v>-76038.351724079999</v>
      </c>
      <c r="U7" s="128">
        <v>-1049919.00772068</v>
      </c>
      <c r="V7" s="107"/>
      <c r="W7" s="128">
        <v>17470814</v>
      </c>
      <c r="X7" s="111"/>
      <c r="Y7" s="128">
        <v>3722263</v>
      </c>
      <c r="AA7" s="40"/>
    </row>
    <row r="8" spans="1:27" ht="20.100000000000001" customHeight="1" x14ac:dyDescent="0.25">
      <c r="A8" s="119">
        <v>102</v>
      </c>
      <c r="B8" s="63" t="s">
        <v>105</v>
      </c>
      <c r="C8" s="123">
        <f>'MFPRSI Supplemental Info 2018'!D8</f>
        <v>1.9680519607034146E-2</v>
      </c>
      <c r="D8" s="123">
        <v>2.3949040551824331E-2</v>
      </c>
      <c r="E8" s="128">
        <f>'MFPRSI Supplemental Info 2018'!W8</f>
        <v>11717850</v>
      </c>
      <c r="F8" s="128">
        <f t="shared" ref="F8:F54" si="0">ROUND($E$57*D8,0)</f>
        <v>14259342</v>
      </c>
      <c r="G8" s="128">
        <f t="shared" ref="G8:G55" si="1">F8-E8</f>
        <v>2541492</v>
      </c>
      <c r="H8" s="128">
        <f t="shared" ref="H8:H55" si="2">ROUND(D8*$U$60,0)</f>
        <v>1886371</v>
      </c>
      <c r="I8" s="128">
        <f t="shared" ref="I8:I55" si="3">H8</f>
        <v>1886371</v>
      </c>
      <c r="J8" s="128">
        <f t="shared" ref="J8:J55" si="4">H8-I8</f>
        <v>0</v>
      </c>
      <c r="K8" s="122">
        <f t="shared" ref="K8:K55" si="5">ROUND((G8+J8)/$U$59,0)</f>
        <v>479527</v>
      </c>
      <c r="L8" s="122">
        <f t="shared" ref="L8:L55" si="6">IF(K8&lt;0,0,G8+J8-K8)</f>
        <v>2061965</v>
      </c>
      <c r="M8" s="122">
        <f t="shared" ref="M8:M55" si="7">IF(G8&lt;0,(G8+J8-K8),0)</f>
        <v>0</v>
      </c>
      <c r="N8" s="107"/>
      <c r="O8" s="122">
        <v>540929</v>
      </c>
      <c r="P8" s="128">
        <v>788711</v>
      </c>
      <c r="Q8" s="122">
        <v>1809526</v>
      </c>
      <c r="R8" s="107"/>
      <c r="S8" s="128">
        <v>-146996.16599192002</v>
      </c>
      <c r="T8" s="122">
        <v>-68369.57569776001</v>
      </c>
      <c r="U8" s="128">
        <v>-944030.41948296002</v>
      </c>
      <c r="V8" s="107"/>
      <c r="W8" s="128">
        <v>15708812</v>
      </c>
      <c r="X8" s="111"/>
      <c r="Y8" s="128">
        <v>3346858</v>
      </c>
      <c r="AA8" s="40"/>
    </row>
    <row r="9" spans="1:27" ht="20.100000000000001" customHeight="1" x14ac:dyDescent="0.25">
      <c r="A9" s="119">
        <v>103</v>
      </c>
      <c r="B9" s="63" t="s">
        <v>106</v>
      </c>
      <c r="C9" s="123">
        <f>'MFPRSI Supplemental Info 2018'!D9</f>
        <v>1.9618539788632445E-2</v>
      </c>
      <c r="D9" s="123">
        <v>1.8753109846965203E-2</v>
      </c>
      <c r="E9" s="128">
        <f>'MFPRSI Supplemental Info 2018'!W9</f>
        <v>11680947</v>
      </c>
      <c r="F9" s="128">
        <f t="shared" si="0"/>
        <v>11165667</v>
      </c>
      <c r="G9" s="128">
        <f t="shared" si="1"/>
        <v>-515280</v>
      </c>
      <c r="H9" s="128">
        <f t="shared" si="2"/>
        <v>1477108</v>
      </c>
      <c r="I9" s="128">
        <f t="shared" si="3"/>
        <v>1477108</v>
      </c>
      <c r="J9" s="128">
        <f t="shared" si="4"/>
        <v>0</v>
      </c>
      <c r="K9" s="122">
        <f t="shared" si="5"/>
        <v>-97223</v>
      </c>
      <c r="L9" s="122">
        <f t="shared" si="6"/>
        <v>0</v>
      </c>
      <c r="M9" s="122">
        <f t="shared" si="7"/>
        <v>-418057</v>
      </c>
      <c r="N9" s="107"/>
      <c r="O9" s="122">
        <v>423570</v>
      </c>
      <c r="P9" s="128">
        <v>617594</v>
      </c>
      <c r="Q9" s="122">
        <v>1416935</v>
      </c>
      <c r="R9" s="107"/>
      <c r="S9" s="128">
        <v>-115104.20753503</v>
      </c>
      <c r="T9" s="122">
        <v>-53536.26590934</v>
      </c>
      <c r="U9" s="128">
        <v>-739215.69715988997</v>
      </c>
      <c r="V9" s="107"/>
      <c r="W9" s="128">
        <v>12300663</v>
      </c>
      <c r="X9" s="111"/>
      <c r="Y9" s="128">
        <v>2620731</v>
      </c>
      <c r="AA9" s="40"/>
    </row>
    <row r="10" spans="1:27" ht="20.100000000000001" customHeight="1" x14ac:dyDescent="0.25">
      <c r="A10" s="119">
        <v>104</v>
      </c>
      <c r="B10" s="63" t="s">
        <v>107</v>
      </c>
      <c r="C10" s="123">
        <f>'MFPRSI Supplemental Info 2018'!D10</f>
        <v>5.5585499115493086E-3</v>
      </c>
      <c r="D10" s="123">
        <v>5.6610406949379119E-3</v>
      </c>
      <c r="E10" s="128">
        <f>'MFPRSI Supplemental Info 2018'!W10</f>
        <v>3309580</v>
      </c>
      <c r="F10" s="128">
        <f t="shared" si="0"/>
        <v>3370603</v>
      </c>
      <c r="G10" s="128">
        <f t="shared" si="1"/>
        <v>61023</v>
      </c>
      <c r="H10" s="128">
        <f t="shared" si="2"/>
        <v>445898</v>
      </c>
      <c r="I10" s="128">
        <f t="shared" si="3"/>
        <v>445898</v>
      </c>
      <c r="J10" s="128">
        <f t="shared" si="4"/>
        <v>0</v>
      </c>
      <c r="K10" s="122">
        <f t="shared" si="5"/>
        <v>11514</v>
      </c>
      <c r="L10" s="122">
        <f t="shared" si="6"/>
        <v>49509</v>
      </c>
      <c r="M10" s="122">
        <f t="shared" si="7"/>
        <v>0</v>
      </c>
      <c r="N10" s="107"/>
      <c r="O10" s="122">
        <v>127864</v>
      </c>
      <c r="P10" s="128">
        <v>186434</v>
      </c>
      <c r="Q10" s="122">
        <v>427733</v>
      </c>
      <c r="R10" s="107"/>
      <c r="S10" s="128">
        <v>-34746.744567920003</v>
      </c>
      <c r="T10" s="122">
        <v>-16161.10302576</v>
      </c>
      <c r="U10" s="128">
        <v>-223148.56737095999</v>
      </c>
      <c r="V10" s="107"/>
      <c r="W10" s="128">
        <v>3713227</v>
      </c>
      <c r="X10" s="111"/>
      <c r="Y10" s="128">
        <v>791126</v>
      </c>
      <c r="AA10" s="40"/>
    </row>
    <row r="11" spans="1:27" ht="20.100000000000001" customHeight="1" x14ac:dyDescent="0.25">
      <c r="A11" s="119">
        <v>105</v>
      </c>
      <c r="B11" s="63" t="s">
        <v>108</v>
      </c>
      <c r="C11" s="123">
        <f>'MFPRSI Supplemental Info 2018'!D11</f>
        <v>1.8807970132025779E-2</v>
      </c>
      <c r="D11" s="123">
        <v>1.8794179993035166E-2</v>
      </c>
      <c r="E11" s="128">
        <f>'MFPRSI Supplemental Info 2018'!W11</f>
        <v>11198331</v>
      </c>
      <c r="F11" s="128">
        <f t="shared" si="0"/>
        <v>11190120</v>
      </c>
      <c r="G11" s="128">
        <f t="shared" si="1"/>
        <v>-8211</v>
      </c>
      <c r="H11" s="128">
        <f t="shared" si="2"/>
        <v>1480343</v>
      </c>
      <c r="I11" s="128">
        <f t="shared" si="3"/>
        <v>1480343</v>
      </c>
      <c r="J11" s="128">
        <f t="shared" si="4"/>
        <v>0</v>
      </c>
      <c r="K11" s="122">
        <f t="shared" si="5"/>
        <v>-1549</v>
      </c>
      <c r="L11" s="122">
        <f t="shared" si="6"/>
        <v>0</v>
      </c>
      <c r="M11" s="122">
        <f t="shared" si="7"/>
        <v>-6662</v>
      </c>
      <c r="N11" s="107"/>
      <c r="O11" s="122">
        <v>424498</v>
      </c>
      <c r="P11" s="128">
        <v>618946</v>
      </c>
      <c r="Q11" s="122">
        <v>1420038</v>
      </c>
      <c r="R11" s="107"/>
      <c r="S11" s="128">
        <v>-115356.28997914</v>
      </c>
      <c r="T11" s="122">
        <v>-53653.512298920003</v>
      </c>
      <c r="U11" s="128">
        <v>-740834.60669982003</v>
      </c>
      <c r="V11" s="107"/>
      <c r="W11" s="128">
        <v>12327602</v>
      </c>
      <c r="X11" s="111"/>
      <c r="Y11" s="128">
        <v>2626471</v>
      </c>
      <c r="AA11" s="40"/>
    </row>
    <row r="12" spans="1:27" ht="20.100000000000001" customHeight="1" x14ac:dyDescent="0.25">
      <c r="A12" s="119">
        <v>106</v>
      </c>
      <c r="B12" s="63" t="s">
        <v>109</v>
      </c>
      <c r="C12" s="123">
        <f>'MFPRSI Supplemental Info 2018'!D12</f>
        <v>2.1358894056997687E-3</v>
      </c>
      <c r="D12" s="123">
        <v>2.3426296061503189E-3</v>
      </c>
      <c r="E12" s="128">
        <f>'MFPRSI Supplemental Info 2018'!W12</f>
        <v>1271716</v>
      </c>
      <c r="F12" s="128">
        <f t="shared" si="0"/>
        <v>1394810</v>
      </c>
      <c r="G12" s="128">
        <f t="shared" si="1"/>
        <v>123094</v>
      </c>
      <c r="H12" s="128">
        <f t="shared" si="2"/>
        <v>184520</v>
      </c>
      <c r="I12" s="128">
        <f t="shared" si="3"/>
        <v>184520</v>
      </c>
      <c r="J12" s="128">
        <f t="shared" si="4"/>
        <v>0</v>
      </c>
      <c r="K12" s="122">
        <f t="shared" si="5"/>
        <v>23225</v>
      </c>
      <c r="L12" s="122">
        <f t="shared" si="6"/>
        <v>99869</v>
      </c>
      <c r="M12" s="122">
        <f t="shared" si="7"/>
        <v>0</v>
      </c>
      <c r="N12" s="107"/>
      <c r="O12" s="122">
        <v>52912</v>
      </c>
      <c r="P12" s="128">
        <v>77150</v>
      </c>
      <c r="Q12" s="122">
        <v>177003</v>
      </c>
      <c r="R12" s="107"/>
      <c r="S12" s="128">
        <v>-14378.765425990001</v>
      </c>
      <c r="T12" s="122">
        <v>-6687.7260682200003</v>
      </c>
      <c r="U12" s="128">
        <v>-92342.489786370003</v>
      </c>
      <c r="V12" s="107"/>
      <c r="W12" s="128">
        <v>1536593</v>
      </c>
      <c r="X12" s="111"/>
      <c r="Y12" s="128">
        <v>327381</v>
      </c>
      <c r="AA12" s="40"/>
    </row>
    <row r="13" spans="1:27" ht="20.100000000000001" customHeight="1" x14ac:dyDescent="0.25">
      <c r="A13" s="119">
        <v>107</v>
      </c>
      <c r="B13" s="63" t="s">
        <v>110</v>
      </c>
      <c r="C13" s="123">
        <f>'MFPRSI Supplemental Info 2018'!D13</f>
        <v>2.9460207041078347E-3</v>
      </c>
      <c r="D13" s="123">
        <v>2.7899799863115469E-3</v>
      </c>
      <c r="E13" s="128">
        <f>'MFPRSI Supplemental Info 2018'!W13</f>
        <v>1754071</v>
      </c>
      <c r="F13" s="128">
        <f t="shared" si="0"/>
        <v>1661164</v>
      </c>
      <c r="G13" s="128">
        <f t="shared" si="1"/>
        <v>-92907</v>
      </c>
      <c r="H13" s="128">
        <f t="shared" si="2"/>
        <v>219756</v>
      </c>
      <c r="I13" s="128">
        <f t="shared" si="3"/>
        <v>219756</v>
      </c>
      <c r="J13" s="128">
        <f t="shared" si="4"/>
        <v>0</v>
      </c>
      <c r="K13" s="122">
        <f t="shared" si="5"/>
        <v>-17530</v>
      </c>
      <c r="L13" s="122">
        <f t="shared" si="6"/>
        <v>0</v>
      </c>
      <c r="M13" s="122">
        <f t="shared" si="7"/>
        <v>-75377</v>
      </c>
      <c r="N13" s="107"/>
      <c r="O13" s="122">
        <v>63016</v>
      </c>
      <c r="P13" s="128">
        <v>91882</v>
      </c>
      <c r="Q13" s="122">
        <v>210804</v>
      </c>
      <c r="R13" s="107"/>
      <c r="S13" s="128">
        <v>-17124.542912540001</v>
      </c>
      <c r="T13" s="122">
        <v>-7964.8181641199999</v>
      </c>
      <c r="U13" s="128">
        <v>-109976.26584402</v>
      </c>
      <c r="V13" s="107"/>
      <c r="W13" s="128">
        <v>1830022</v>
      </c>
      <c r="X13" s="111"/>
      <c r="Y13" s="128">
        <v>389897</v>
      </c>
      <c r="AA13" s="40"/>
    </row>
    <row r="14" spans="1:27" ht="20.100000000000001" customHeight="1" x14ac:dyDescent="0.25">
      <c r="A14" s="119">
        <v>108</v>
      </c>
      <c r="B14" s="63" t="s">
        <v>111</v>
      </c>
      <c r="C14" s="123">
        <f>'MFPRSI Supplemental Info 2018'!D14</f>
        <v>1.7781800461642242E-2</v>
      </c>
      <c r="D14" s="123">
        <v>1.8648689621840887E-2</v>
      </c>
      <c r="E14" s="128">
        <f>'MFPRSI Supplemental Info 2018'!W14</f>
        <v>10587346</v>
      </c>
      <c r="F14" s="128">
        <f t="shared" si="0"/>
        <v>11103495</v>
      </c>
      <c r="G14" s="128">
        <f t="shared" si="1"/>
        <v>516149</v>
      </c>
      <c r="H14" s="128">
        <f t="shared" si="2"/>
        <v>1468883</v>
      </c>
      <c r="I14" s="128">
        <f t="shared" si="3"/>
        <v>1468883</v>
      </c>
      <c r="J14" s="128">
        <f t="shared" si="4"/>
        <v>0</v>
      </c>
      <c r="K14" s="122">
        <f t="shared" si="5"/>
        <v>97387</v>
      </c>
      <c r="L14" s="122">
        <f t="shared" si="6"/>
        <v>418762</v>
      </c>
      <c r="M14" s="122">
        <f t="shared" si="7"/>
        <v>0</v>
      </c>
      <c r="N14" s="107"/>
      <c r="O14" s="122">
        <v>421212</v>
      </c>
      <c r="P14" s="128">
        <v>614155</v>
      </c>
      <c r="Q14" s="122">
        <v>1409046</v>
      </c>
      <c r="R14" s="107"/>
      <c r="S14" s="128">
        <v>-114463.29083637</v>
      </c>
      <c r="T14" s="122">
        <v>-53238.16831986</v>
      </c>
      <c r="U14" s="128">
        <v>-735099.63837831002</v>
      </c>
      <c r="V14" s="107"/>
      <c r="W14" s="128">
        <v>12232171</v>
      </c>
      <c r="X14" s="111"/>
      <c r="Y14" s="128">
        <v>2606139</v>
      </c>
      <c r="AA14" s="40"/>
    </row>
    <row r="15" spans="1:27" ht="20.100000000000001" customHeight="1" x14ac:dyDescent="0.25">
      <c r="A15" s="119">
        <v>109</v>
      </c>
      <c r="B15" s="63" t="s">
        <v>112</v>
      </c>
      <c r="C15" s="123">
        <f>'MFPRSI Supplemental Info 2018'!D15</f>
        <v>9.1879720549906688E-2</v>
      </c>
      <c r="D15" s="123">
        <v>9.065805047454939E-2</v>
      </c>
      <c r="E15" s="128">
        <f>'MFPRSI Supplemental Info 2018'!W15</f>
        <v>54705506</v>
      </c>
      <c r="F15" s="128">
        <f t="shared" si="0"/>
        <v>53978119</v>
      </c>
      <c r="G15" s="128">
        <f t="shared" si="1"/>
        <v>-727387</v>
      </c>
      <c r="H15" s="128">
        <f t="shared" si="2"/>
        <v>7140774</v>
      </c>
      <c r="I15" s="128">
        <f t="shared" si="3"/>
        <v>7140774</v>
      </c>
      <c r="J15" s="128">
        <f t="shared" si="4"/>
        <v>0</v>
      </c>
      <c r="K15" s="122">
        <f t="shared" si="5"/>
        <v>-137243</v>
      </c>
      <c r="L15" s="122">
        <f t="shared" si="6"/>
        <v>0</v>
      </c>
      <c r="M15" s="122">
        <f t="shared" si="7"/>
        <v>-590144</v>
      </c>
      <c r="N15" s="107"/>
      <c r="O15" s="122">
        <v>2047663</v>
      </c>
      <c r="P15" s="128">
        <v>2985631</v>
      </c>
      <c r="Q15" s="122">
        <v>6849882</v>
      </c>
      <c r="R15" s="107"/>
      <c r="S15" s="128">
        <v>-556447.59732765006</v>
      </c>
      <c r="T15" s="122">
        <v>-258810.05719170001</v>
      </c>
      <c r="U15" s="128">
        <v>-3573586.1216569501</v>
      </c>
      <c r="V15" s="107"/>
      <c r="W15" s="128">
        <v>59465024</v>
      </c>
      <c r="X15" s="111"/>
      <c r="Y15" s="128">
        <v>12669386</v>
      </c>
      <c r="AA15" s="40"/>
    </row>
    <row r="16" spans="1:27" ht="20.100000000000001" customHeight="1" x14ac:dyDescent="0.25">
      <c r="A16" s="119">
        <v>110</v>
      </c>
      <c r="B16" s="63" t="s">
        <v>113</v>
      </c>
      <c r="C16" s="123">
        <f>'MFPRSI Supplemental Info 2018'!D16</f>
        <v>2.469570689632189E-3</v>
      </c>
      <c r="D16" s="123">
        <v>2.3883405155981719E-3</v>
      </c>
      <c r="E16" s="128">
        <f>'MFPRSI Supplemental Info 2018'!W16</f>
        <v>1470391</v>
      </c>
      <c r="F16" s="128">
        <f t="shared" si="0"/>
        <v>1422026</v>
      </c>
      <c r="G16" s="128">
        <f t="shared" si="1"/>
        <v>-48365</v>
      </c>
      <c r="H16" s="128">
        <f t="shared" si="2"/>
        <v>188120</v>
      </c>
      <c r="I16" s="128">
        <f t="shared" si="3"/>
        <v>188120</v>
      </c>
      <c r="J16" s="128">
        <f t="shared" si="4"/>
        <v>0</v>
      </c>
      <c r="K16" s="122">
        <f t="shared" si="5"/>
        <v>-9125</v>
      </c>
      <c r="L16" s="122">
        <f t="shared" si="6"/>
        <v>0</v>
      </c>
      <c r="M16" s="122">
        <f t="shared" si="7"/>
        <v>-39240</v>
      </c>
      <c r="N16" s="107"/>
      <c r="O16" s="122">
        <v>53945</v>
      </c>
      <c r="P16" s="128">
        <v>78655</v>
      </c>
      <c r="Q16" s="122">
        <v>180457</v>
      </c>
      <c r="R16" s="107"/>
      <c r="S16" s="128">
        <v>-14659.327600820001</v>
      </c>
      <c r="T16" s="122">
        <v>-6818.2187019600005</v>
      </c>
      <c r="U16" s="128">
        <v>-94144.300233660004</v>
      </c>
      <c r="V16" s="107"/>
      <c r="W16" s="128">
        <v>1566576</v>
      </c>
      <c r="X16" s="111"/>
      <c r="Y16" s="128">
        <v>333768</v>
      </c>
      <c r="AA16" s="40"/>
    </row>
    <row r="17" spans="1:27" ht="20.100000000000001" customHeight="1" x14ac:dyDescent="0.25">
      <c r="A17" s="119">
        <v>111</v>
      </c>
      <c r="B17" s="63" t="s">
        <v>114</v>
      </c>
      <c r="C17" s="123">
        <f>'MFPRSI Supplemental Info 2018'!D17</f>
        <v>3.2486205442730301E-3</v>
      </c>
      <c r="D17" s="123">
        <v>3.1569707614633917E-3</v>
      </c>
      <c r="E17" s="128">
        <f>'MFPRSI Supplemental Info 2018'!W17</f>
        <v>1934240</v>
      </c>
      <c r="F17" s="128">
        <f t="shared" si="0"/>
        <v>1879671</v>
      </c>
      <c r="G17" s="128">
        <f t="shared" si="1"/>
        <v>-54569</v>
      </c>
      <c r="H17" s="128">
        <f t="shared" si="2"/>
        <v>248662</v>
      </c>
      <c r="I17" s="128">
        <f t="shared" si="3"/>
        <v>248662</v>
      </c>
      <c r="J17" s="128">
        <f t="shared" si="4"/>
        <v>0</v>
      </c>
      <c r="K17" s="122">
        <f t="shared" si="5"/>
        <v>-10296</v>
      </c>
      <c r="L17" s="122">
        <f t="shared" si="6"/>
        <v>0</v>
      </c>
      <c r="M17" s="122">
        <f t="shared" si="7"/>
        <v>-44273</v>
      </c>
      <c r="N17" s="107"/>
      <c r="O17" s="122">
        <v>71305</v>
      </c>
      <c r="P17" s="128">
        <v>103968</v>
      </c>
      <c r="Q17" s="122">
        <v>238532</v>
      </c>
      <c r="R17" s="107"/>
      <c r="S17" s="128">
        <v>-19377.080924809998</v>
      </c>
      <c r="T17" s="122">
        <v>-9012.499014179999</v>
      </c>
      <c r="U17" s="128">
        <v>-124442.38739403</v>
      </c>
      <c r="V17" s="107"/>
      <c r="W17" s="128">
        <v>2070741</v>
      </c>
      <c r="X17" s="111"/>
      <c r="Y17" s="128">
        <v>441184</v>
      </c>
      <c r="AA17" s="40"/>
    </row>
    <row r="18" spans="1:27" ht="20.100000000000001" customHeight="1" x14ac:dyDescent="0.25">
      <c r="A18" s="119">
        <v>112</v>
      </c>
      <c r="B18" s="63" t="s">
        <v>115</v>
      </c>
      <c r="C18" s="123">
        <f>'MFPRSI Supplemental Info 2018'!D18</f>
        <v>1.8626619161872662E-2</v>
      </c>
      <c r="D18" s="123">
        <v>1.9541039509256408E-2</v>
      </c>
      <c r="E18" s="128">
        <f>'MFPRSI Supplemental Info 2018'!W18</f>
        <v>11090354</v>
      </c>
      <c r="F18" s="128">
        <f t="shared" si="0"/>
        <v>11634803</v>
      </c>
      <c r="G18" s="128">
        <f t="shared" si="1"/>
        <v>544449</v>
      </c>
      <c r="H18" s="128">
        <f t="shared" si="2"/>
        <v>1539170</v>
      </c>
      <c r="I18" s="128">
        <f t="shared" si="3"/>
        <v>1539170</v>
      </c>
      <c r="J18" s="128">
        <f t="shared" si="4"/>
        <v>0</v>
      </c>
      <c r="K18" s="122">
        <f t="shared" si="5"/>
        <v>102726</v>
      </c>
      <c r="L18" s="122">
        <f t="shared" si="6"/>
        <v>441723</v>
      </c>
      <c r="M18" s="122">
        <f t="shared" si="7"/>
        <v>0</v>
      </c>
      <c r="N18" s="107"/>
      <c r="O18" s="122">
        <v>441367</v>
      </c>
      <c r="P18" s="128">
        <v>643543</v>
      </c>
      <c r="Q18" s="122">
        <v>1476469</v>
      </c>
      <c r="R18" s="107"/>
      <c r="S18" s="128">
        <v>-119940.42180791999</v>
      </c>
      <c r="T18" s="122">
        <v>-55785.643745759997</v>
      </c>
      <c r="U18" s="128">
        <v>-770274.55749096</v>
      </c>
      <c r="V18" s="107"/>
      <c r="W18" s="128">
        <v>12817487</v>
      </c>
      <c r="X18" s="111"/>
      <c r="Y18" s="128">
        <v>2730844</v>
      </c>
      <c r="AA18" s="40"/>
    </row>
    <row r="19" spans="1:27" ht="20.100000000000001" customHeight="1" x14ac:dyDescent="0.25">
      <c r="A19" s="119">
        <v>113</v>
      </c>
      <c r="B19" s="63" t="s">
        <v>116</v>
      </c>
      <c r="C19" s="123">
        <f>'MFPRSI Supplemental Info 2018'!D19</f>
        <v>6.0440190199960988E-3</v>
      </c>
      <c r="D19" s="123">
        <v>5.8666201094226449E-3</v>
      </c>
      <c r="E19" s="128">
        <f>'MFPRSI Supplemental Info 2018'!W19</f>
        <v>3598630</v>
      </c>
      <c r="F19" s="128">
        <f t="shared" si="0"/>
        <v>3493006</v>
      </c>
      <c r="G19" s="128">
        <f t="shared" si="1"/>
        <v>-105624</v>
      </c>
      <c r="H19" s="128">
        <f t="shared" si="2"/>
        <v>462090</v>
      </c>
      <c r="I19" s="128">
        <f t="shared" si="3"/>
        <v>462090</v>
      </c>
      <c r="J19" s="128">
        <f t="shared" si="4"/>
        <v>0</v>
      </c>
      <c r="K19" s="122">
        <f t="shared" si="5"/>
        <v>-19929</v>
      </c>
      <c r="L19" s="122">
        <f t="shared" si="6"/>
        <v>0</v>
      </c>
      <c r="M19" s="122">
        <f t="shared" si="7"/>
        <v>-85695</v>
      </c>
      <c r="N19" s="107"/>
      <c r="O19" s="122">
        <v>132507</v>
      </c>
      <c r="P19" s="128">
        <v>193205</v>
      </c>
      <c r="Q19" s="122">
        <v>443266</v>
      </c>
      <c r="R19" s="107"/>
      <c r="S19" s="128">
        <v>-36008.56849926</v>
      </c>
      <c r="T19" s="122">
        <v>-16747.991576280001</v>
      </c>
      <c r="U19" s="128">
        <v>-231252.18127938002</v>
      </c>
      <c r="V19" s="107"/>
      <c r="W19" s="128">
        <v>3848072</v>
      </c>
      <c r="X19" s="111"/>
      <c r="Y19" s="128">
        <v>819855</v>
      </c>
      <c r="AA19" s="40"/>
    </row>
    <row r="20" spans="1:27" ht="20.100000000000001" customHeight="1" x14ac:dyDescent="0.25">
      <c r="A20" s="119">
        <v>114</v>
      </c>
      <c r="B20" s="63" t="s">
        <v>117</v>
      </c>
      <c r="C20" s="123">
        <f>'MFPRSI Supplemental Info 2018'!D20</f>
        <v>5.8169750020291705E-2</v>
      </c>
      <c r="D20" s="123">
        <v>5.7656929582311216E-2</v>
      </c>
      <c r="E20" s="128">
        <f>'MFPRSI Supplemental Info 2018'!W20</f>
        <v>34634472</v>
      </c>
      <c r="F20" s="128">
        <f t="shared" si="0"/>
        <v>34329137</v>
      </c>
      <c r="G20" s="128">
        <f t="shared" si="1"/>
        <v>-305335</v>
      </c>
      <c r="H20" s="128">
        <f t="shared" si="2"/>
        <v>4541407</v>
      </c>
      <c r="I20" s="128">
        <f t="shared" si="3"/>
        <v>4541407</v>
      </c>
      <c r="J20" s="128">
        <f t="shared" si="4"/>
        <v>0</v>
      </c>
      <c r="K20" s="122">
        <f t="shared" si="5"/>
        <v>-57610</v>
      </c>
      <c r="L20" s="122">
        <f t="shared" si="6"/>
        <v>0</v>
      </c>
      <c r="M20" s="122">
        <f t="shared" si="7"/>
        <v>-247725</v>
      </c>
      <c r="N20" s="107"/>
      <c r="O20" s="122">
        <v>1302278</v>
      </c>
      <c r="P20" s="128">
        <v>1898809</v>
      </c>
      <c r="Q20" s="122">
        <v>4356405</v>
      </c>
      <c r="R20" s="107"/>
      <c r="S20" s="128">
        <v>-353890.91390988999</v>
      </c>
      <c r="T20" s="122">
        <v>-164598.65782242001</v>
      </c>
      <c r="U20" s="128">
        <v>-2272738.1061620703</v>
      </c>
      <c r="V20" s="107"/>
      <c r="W20" s="128">
        <v>37818712</v>
      </c>
      <c r="X20" s="111"/>
      <c r="Y20" s="128">
        <v>8057507</v>
      </c>
      <c r="AA20" s="40"/>
    </row>
    <row r="21" spans="1:27" ht="20.100000000000001" customHeight="1" x14ac:dyDescent="0.25">
      <c r="A21" s="119">
        <v>115</v>
      </c>
      <c r="B21" s="63" t="s">
        <v>118</v>
      </c>
      <c r="C21" s="123">
        <f>'MFPRSI Supplemental Info 2018'!D21</f>
        <v>2.7193693610329831E-3</v>
      </c>
      <c r="D21" s="123">
        <v>2.7003297071809878E-3</v>
      </c>
      <c r="E21" s="128">
        <f>'MFPRSI Supplemental Info 2018'!W21</f>
        <v>1619122</v>
      </c>
      <c r="F21" s="128">
        <f t="shared" si="0"/>
        <v>1607786</v>
      </c>
      <c r="G21" s="128">
        <f t="shared" si="1"/>
        <v>-11336</v>
      </c>
      <c r="H21" s="128">
        <f t="shared" si="2"/>
        <v>212694</v>
      </c>
      <c r="I21" s="128">
        <f t="shared" si="3"/>
        <v>212694</v>
      </c>
      <c r="J21" s="128">
        <f t="shared" si="4"/>
        <v>0</v>
      </c>
      <c r="K21" s="122">
        <f t="shared" si="5"/>
        <v>-2139</v>
      </c>
      <c r="L21" s="122">
        <f t="shared" si="6"/>
        <v>0</v>
      </c>
      <c r="M21" s="122">
        <f t="shared" si="7"/>
        <v>-9197</v>
      </c>
      <c r="N21" s="107"/>
      <c r="O21" s="122">
        <v>60991</v>
      </c>
      <c r="P21" s="128">
        <v>88930</v>
      </c>
      <c r="Q21" s="122">
        <v>204030</v>
      </c>
      <c r="R21" s="107"/>
      <c r="S21" s="128">
        <v>-16574.282598089998</v>
      </c>
      <c r="T21" s="122">
        <v>-7708.8858820199994</v>
      </c>
      <c r="U21" s="128">
        <v>-106442.41533866999</v>
      </c>
      <c r="V21" s="107"/>
      <c r="W21" s="128">
        <v>1771218</v>
      </c>
      <c r="X21" s="111"/>
      <c r="Y21" s="128">
        <v>377369</v>
      </c>
      <c r="AA21" s="40"/>
    </row>
    <row r="22" spans="1:27" ht="20.100000000000001" customHeight="1" x14ac:dyDescent="0.25">
      <c r="A22" s="119">
        <v>116</v>
      </c>
      <c r="B22" s="63" t="s">
        <v>119</v>
      </c>
      <c r="C22" s="123">
        <f>'MFPRSI Supplemental Info 2018'!D22</f>
        <v>7.7520909782646266E-2</v>
      </c>
      <c r="D22" s="123">
        <v>7.7798139931727628E-2</v>
      </c>
      <c r="E22" s="128">
        <f>'MFPRSI Supplemental Info 2018'!W22</f>
        <v>46156220</v>
      </c>
      <c r="F22" s="128">
        <f t="shared" si="0"/>
        <v>46321284</v>
      </c>
      <c r="G22" s="128">
        <f t="shared" si="1"/>
        <v>165064</v>
      </c>
      <c r="H22" s="128">
        <f t="shared" si="2"/>
        <v>6127850</v>
      </c>
      <c r="I22" s="128">
        <f t="shared" si="3"/>
        <v>6127850</v>
      </c>
      <c r="J22" s="128">
        <f t="shared" si="4"/>
        <v>0</v>
      </c>
      <c r="K22" s="122">
        <f t="shared" si="5"/>
        <v>31144</v>
      </c>
      <c r="L22" s="122">
        <f t="shared" si="6"/>
        <v>133920</v>
      </c>
      <c r="M22" s="122">
        <f t="shared" si="7"/>
        <v>0</v>
      </c>
      <c r="N22" s="107"/>
      <c r="O22" s="122">
        <v>1757201</v>
      </c>
      <c r="P22" s="128">
        <v>2562117</v>
      </c>
      <c r="Q22" s="122">
        <v>5878222</v>
      </c>
      <c r="R22" s="107"/>
      <c r="S22" s="128">
        <v>-477515.10295621998</v>
      </c>
      <c r="T22" s="122">
        <v>-222097.66328316001</v>
      </c>
      <c r="U22" s="128">
        <v>-3066670.3441638602</v>
      </c>
      <c r="V22" s="107"/>
      <c r="W22" s="128">
        <v>51029867</v>
      </c>
      <c r="X22" s="111"/>
      <c r="Y22" s="128">
        <v>10872224</v>
      </c>
      <c r="AA22" s="40"/>
    </row>
    <row r="23" spans="1:27" ht="20.100000000000001" customHeight="1" x14ac:dyDescent="0.25">
      <c r="A23" s="119">
        <v>117</v>
      </c>
      <c r="B23" s="63" t="s">
        <v>120</v>
      </c>
      <c r="C23" s="123">
        <f>'MFPRSI Supplemental Info 2018'!D23</f>
        <v>2.9519696111554683E-3</v>
      </c>
      <c r="D23" s="123">
        <v>3.0345393738731141E-3</v>
      </c>
      <c r="E23" s="128">
        <f>'MFPRSI Supplemental Info 2018'!W23</f>
        <v>1757613</v>
      </c>
      <c r="F23" s="128">
        <f t="shared" si="0"/>
        <v>1806775</v>
      </c>
      <c r="G23" s="128">
        <f t="shared" si="1"/>
        <v>49162</v>
      </c>
      <c r="H23" s="128">
        <f t="shared" si="2"/>
        <v>239019</v>
      </c>
      <c r="I23" s="128">
        <f t="shared" si="3"/>
        <v>239019</v>
      </c>
      <c r="J23" s="128">
        <f t="shared" si="4"/>
        <v>0</v>
      </c>
      <c r="K23" s="122">
        <f t="shared" si="5"/>
        <v>9276</v>
      </c>
      <c r="L23" s="122">
        <f t="shared" si="6"/>
        <v>39886</v>
      </c>
      <c r="M23" s="122">
        <f t="shared" si="7"/>
        <v>0</v>
      </c>
      <c r="N23" s="107"/>
      <c r="O23" s="122">
        <v>68540</v>
      </c>
      <c r="P23" s="128">
        <v>99936</v>
      </c>
      <c r="Q23" s="122">
        <v>229282</v>
      </c>
      <c r="R23" s="107"/>
      <c r="S23" s="128">
        <v>-18625.621133420002</v>
      </c>
      <c r="T23" s="122">
        <v>-8662.9865847599995</v>
      </c>
      <c r="U23" s="128">
        <v>-119616.40504746001</v>
      </c>
      <c r="V23" s="107"/>
      <c r="W23" s="128">
        <v>1990435</v>
      </c>
      <c r="X23" s="111"/>
      <c r="Y23" s="128">
        <v>424074</v>
      </c>
      <c r="AA23" s="40"/>
    </row>
    <row r="24" spans="1:27" ht="20.100000000000001" customHeight="1" x14ac:dyDescent="0.25">
      <c r="A24" s="119">
        <v>118</v>
      </c>
      <c r="B24" s="63" t="s">
        <v>121</v>
      </c>
      <c r="C24" s="123">
        <f>'MFPRSI Supplemental Info 2018'!D24</f>
        <v>0.18524274951046768</v>
      </c>
      <c r="D24" s="123">
        <v>0.18437169755811492</v>
      </c>
      <c r="E24" s="128">
        <f>'MFPRSI Supplemental Info 2018'!W24</f>
        <v>110294179</v>
      </c>
      <c r="F24" s="128">
        <f t="shared" si="0"/>
        <v>109775552</v>
      </c>
      <c r="G24" s="128">
        <f t="shared" si="1"/>
        <v>-518627</v>
      </c>
      <c r="H24" s="128">
        <f t="shared" si="2"/>
        <v>14522225</v>
      </c>
      <c r="I24" s="128">
        <f t="shared" si="3"/>
        <v>14522225</v>
      </c>
      <c r="J24" s="128">
        <f t="shared" si="4"/>
        <v>0</v>
      </c>
      <c r="K24" s="122">
        <f t="shared" si="5"/>
        <v>-97854</v>
      </c>
      <c r="L24" s="122">
        <f t="shared" si="6"/>
        <v>0</v>
      </c>
      <c r="M24" s="122">
        <f t="shared" si="7"/>
        <v>-420773</v>
      </c>
      <c r="N24" s="107"/>
      <c r="O24" s="122">
        <v>4164342</v>
      </c>
      <c r="P24" s="128">
        <v>6071889</v>
      </c>
      <c r="Q24" s="122">
        <v>13930638</v>
      </c>
      <c r="R24" s="107"/>
      <c r="S24" s="128">
        <v>-1131650.0793941</v>
      </c>
      <c r="T24" s="122">
        <v>-526343.22292980005</v>
      </c>
      <c r="U24" s="128">
        <v>-7267618.7977382997</v>
      </c>
      <c r="V24" s="107"/>
      <c r="W24" s="128">
        <v>120934295</v>
      </c>
      <c r="X24" s="111"/>
      <c r="Y24" s="128">
        <v>25765790</v>
      </c>
      <c r="AA24" s="40"/>
    </row>
    <row r="25" spans="1:27" ht="20.100000000000001" customHeight="1" x14ac:dyDescent="0.25">
      <c r="A25" s="119">
        <v>119</v>
      </c>
      <c r="B25" s="63" t="s">
        <v>122</v>
      </c>
      <c r="C25" s="123">
        <f>'MFPRSI Supplemental Info 2018'!D25</f>
        <v>2.2278690484054892E-3</v>
      </c>
      <c r="D25" s="123">
        <v>2.1145080342064937E-3</v>
      </c>
      <c r="E25" s="128">
        <f>'MFPRSI Supplemental Info 2018'!W25</f>
        <v>1326481</v>
      </c>
      <c r="F25" s="128">
        <f t="shared" si="0"/>
        <v>1258985</v>
      </c>
      <c r="G25" s="128">
        <f t="shared" si="1"/>
        <v>-67496</v>
      </c>
      <c r="H25" s="128">
        <f t="shared" si="2"/>
        <v>166551</v>
      </c>
      <c r="I25" s="128">
        <f t="shared" si="3"/>
        <v>166551</v>
      </c>
      <c r="J25" s="128">
        <f t="shared" si="4"/>
        <v>0</v>
      </c>
      <c r="K25" s="122">
        <f t="shared" si="5"/>
        <v>-12735</v>
      </c>
      <c r="L25" s="122">
        <f t="shared" si="6"/>
        <v>0</v>
      </c>
      <c r="M25" s="122">
        <f t="shared" si="7"/>
        <v>-54761</v>
      </c>
      <c r="N25" s="107"/>
      <c r="O25" s="122">
        <v>47760</v>
      </c>
      <c r="P25" s="128">
        <v>69637</v>
      </c>
      <c r="Q25" s="122">
        <v>159767</v>
      </c>
      <c r="R25" s="107"/>
      <c r="S25" s="128">
        <v>-12978.593837230001</v>
      </c>
      <c r="T25" s="122">
        <v>-6036.49046094</v>
      </c>
      <c r="U25" s="128">
        <v>-83350.387418490005</v>
      </c>
      <c r="V25" s="107"/>
      <c r="W25" s="128">
        <v>1386962</v>
      </c>
      <c r="X25" s="111"/>
      <c r="Y25" s="128">
        <v>295501</v>
      </c>
      <c r="AA25" s="40"/>
    </row>
    <row r="26" spans="1:27" ht="20.100000000000001" customHeight="1" x14ac:dyDescent="0.25">
      <c r="A26" s="119">
        <v>120</v>
      </c>
      <c r="B26" s="63" t="s">
        <v>123</v>
      </c>
      <c r="C26" s="123">
        <f>'MFPRSI Supplemental Info 2018'!D26</f>
        <v>4.8638910641784668E-2</v>
      </c>
      <c r="D26" s="123">
        <v>4.6918660494144428E-2</v>
      </c>
      <c r="E26" s="128">
        <f>'MFPRSI Supplemental Info 2018'!W26</f>
        <v>28959777</v>
      </c>
      <c r="F26" s="128">
        <f t="shared" si="0"/>
        <v>27935534</v>
      </c>
      <c r="G26" s="128">
        <f t="shared" si="1"/>
        <v>-1024243</v>
      </c>
      <c r="H26" s="128">
        <f t="shared" si="2"/>
        <v>3695596</v>
      </c>
      <c r="I26" s="128">
        <f t="shared" si="3"/>
        <v>3695596</v>
      </c>
      <c r="J26" s="128">
        <f t="shared" si="4"/>
        <v>0</v>
      </c>
      <c r="K26" s="122">
        <f t="shared" si="5"/>
        <v>-193253</v>
      </c>
      <c r="L26" s="122">
        <f t="shared" si="6"/>
        <v>0</v>
      </c>
      <c r="M26" s="122">
        <f t="shared" si="7"/>
        <v>-830990</v>
      </c>
      <c r="N26" s="107"/>
      <c r="O26" s="122">
        <v>1059736</v>
      </c>
      <c r="P26" s="128">
        <v>1545167</v>
      </c>
      <c r="Q26" s="122">
        <v>3545050</v>
      </c>
      <c r="R26" s="107"/>
      <c r="S26" s="128">
        <v>-287980.77641018003</v>
      </c>
      <c r="T26" s="122">
        <v>-133943.10905604</v>
      </c>
      <c r="U26" s="128">
        <v>-1849453.7685593399</v>
      </c>
      <c r="V26" s="107"/>
      <c r="W26" s="128">
        <v>30775196</v>
      </c>
      <c r="X26" s="111"/>
      <c r="Y26" s="128">
        <v>6556843</v>
      </c>
      <c r="AA26" s="40"/>
    </row>
    <row r="27" spans="1:27" ht="20.100000000000001" customHeight="1" x14ac:dyDescent="0.25">
      <c r="A27" s="119">
        <v>121</v>
      </c>
      <c r="B27" s="63" t="s">
        <v>124</v>
      </c>
      <c r="C27" s="123">
        <f>'MFPRSI Supplemental Info 2018'!D27</f>
        <v>2.4053587714376284E-3</v>
      </c>
      <c r="D27" s="123">
        <v>2.3494901301977906E-3</v>
      </c>
      <c r="E27" s="128">
        <f>'MFPRSI Supplemental Info 2018'!W27</f>
        <v>1432159</v>
      </c>
      <c r="F27" s="128">
        <f t="shared" si="0"/>
        <v>1398895</v>
      </c>
      <c r="G27" s="128">
        <f t="shared" si="1"/>
        <v>-33264</v>
      </c>
      <c r="H27" s="128">
        <f t="shared" si="2"/>
        <v>185060</v>
      </c>
      <c r="I27" s="128">
        <f t="shared" si="3"/>
        <v>185060</v>
      </c>
      <c r="J27" s="128">
        <f t="shared" si="4"/>
        <v>0</v>
      </c>
      <c r="K27" s="122">
        <f t="shared" si="5"/>
        <v>-6276</v>
      </c>
      <c r="L27" s="122">
        <f t="shared" si="6"/>
        <v>0</v>
      </c>
      <c r="M27" s="122">
        <f t="shared" si="7"/>
        <v>-26988</v>
      </c>
      <c r="N27" s="107"/>
      <c r="O27" s="122">
        <v>53067</v>
      </c>
      <c r="P27" s="128">
        <v>77375</v>
      </c>
      <c r="Q27" s="122">
        <v>177521</v>
      </c>
      <c r="R27" s="107"/>
      <c r="S27" s="128">
        <v>-14420.87123477</v>
      </c>
      <c r="T27" s="122">
        <v>-6707.30995506</v>
      </c>
      <c r="U27" s="128">
        <v>-92612.899317510004</v>
      </c>
      <c r="V27" s="107"/>
      <c r="W27" s="128">
        <v>1541093</v>
      </c>
      <c r="X27" s="111"/>
      <c r="Y27" s="128">
        <v>328339</v>
      </c>
      <c r="AA27" s="40"/>
    </row>
    <row r="28" spans="1:27" ht="20.100000000000001" customHeight="1" x14ac:dyDescent="0.25">
      <c r="A28" s="119">
        <v>122</v>
      </c>
      <c r="B28" s="63" t="s">
        <v>125</v>
      </c>
      <c r="C28" s="123">
        <f>'MFPRSI Supplemental Info 2018'!D28</f>
        <v>1.1974686335688189E-3</v>
      </c>
      <c r="D28" s="123">
        <v>1.3487805522938042E-3</v>
      </c>
      <c r="E28" s="128">
        <f>'MFPRSI Supplemental Info 2018'!W28</f>
        <v>712977</v>
      </c>
      <c r="F28" s="128">
        <f t="shared" si="0"/>
        <v>803069</v>
      </c>
      <c r="G28" s="128">
        <f t="shared" si="1"/>
        <v>90092</v>
      </c>
      <c r="H28" s="128">
        <f t="shared" si="2"/>
        <v>106238</v>
      </c>
      <c r="I28" s="128">
        <f t="shared" si="3"/>
        <v>106238</v>
      </c>
      <c r="J28" s="128">
        <f t="shared" si="4"/>
        <v>0</v>
      </c>
      <c r="K28" s="122">
        <f t="shared" si="5"/>
        <v>16998</v>
      </c>
      <c r="L28" s="122">
        <f t="shared" si="6"/>
        <v>73094</v>
      </c>
      <c r="M28" s="122">
        <f t="shared" si="7"/>
        <v>0</v>
      </c>
      <c r="N28" s="107"/>
      <c r="O28" s="122">
        <v>30464</v>
      </c>
      <c r="P28" s="128">
        <v>44419</v>
      </c>
      <c r="Q28" s="122">
        <v>101910</v>
      </c>
      <c r="R28" s="107"/>
      <c r="S28" s="128">
        <v>-8278.6403449400004</v>
      </c>
      <c r="T28" s="122">
        <v>-3850.4890513199998</v>
      </c>
      <c r="U28" s="128">
        <v>-53166.613325219994</v>
      </c>
      <c r="V28" s="107"/>
      <c r="W28" s="128">
        <v>884701</v>
      </c>
      <c r="X28" s="111"/>
      <c r="Y28" s="128">
        <v>188491</v>
      </c>
      <c r="AA28" s="40"/>
    </row>
    <row r="29" spans="1:27" ht="20.100000000000001" customHeight="1" x14ac:dyDescent="0.25">
      <c r="A29" s="119">
        <v>123</v>
      </c>
      <c r="B29" s="63" t="s">
        <v>126</v>
      </c>
      <c r="C29" s="123">
        <f>'MFPRSI Supplemental Info 2018'!D29</f>
        <v>3.4379896065338295E-3</v>
      </c>
      <c r="D29" s="123">
        <v>2.9868404370123939E-3</v>
      </c>
      <c r="E29" s="128">
        <f>'MFPRSI Supplemental Info 2018'!W29</f>
        <v>2046991</v>
      </c>
      <c r="F29" s="128">
        <f t="shared" si="0"/>
        <v>1778375</v>
      </c>
      <c r="G29" s="128">
        <f t="shared" si="1"/>
        <v>-268616</v>
      </c>
      <c r="H29" s="128">
        <f t="shared" si="2"/>
        <v>235262</v>
      </c>
      <c r="I29" s="128">
        <f t="shared" si="3"/>
        <v>235262</v>
      </c>
      <c r="J29" s="128">
        <f t="shared" si="4"/>
        <v>0</v>
      </c>
      <c r="K29" s="122">
        <f t="shared" si="5"/>
        <v>-50682</v>
      </c>
      <c r="L29" s="122">
        <f t="shared" si="6"/>
        <v>0</v>
      </c>
      <c r="M29" s="122">
        <f t="shared" si="7"/>
        <v>-217934</v>
      </c>
      <c r="N29" s="107"/>
      <c r="O29" s="122">
        <v>67463</v>
      </c>
      <c r="P29" s="128">
        <v>98365</v>
      </c>
      <c r="Q29" s="122">
        <v>225678</v>
      </c>
      <c r="R29" s="107"/>
      <c r="S29" s="128">
        <v>-18332.844591320001</v>
      </c>
      <c r="T29" s="122">
        <v>-8526.8129109600013</v>
      </c>
      <c r="U29" s="128">
        <v>-117736.15218516001</v>
      </c>
      <c r="V29" s="107"/>
      <c r="W29" s="128">
        <v>1959148</v>
      </c>
      <c r="X29" s="111"/>
      <c r="Y29" s="128">
        <v>417408</v>
      </c>
      <c r="AA29" s="40"/>
    </row>
    <row r="30" spans="1:27" ht="20.100000000000001" customHeight="1" x14ac:dyDescent="0.25">
      <c r="A30" s="119">
        <v>124</v>
      </c>
      <c r="B30" s="63" t="s">
        <v>127</v>
      </c>
      <c r="C30" s="123">
        <f>'MFPRSI Supplemental Info 2018'!D30</f>
        <v>1.5440989515064766E-2</v>
      </c>
      <c r="D30" s="123">
        <v>1.5640159256912187E-2</v>
      </c>
      <c r="E30" s="128">
        <f>'MFPRSI Supplemental Info 2018'!W30</f>
        <v>9193619</v>
      </c>
      <c r="F30" s="128">
        <f t="shared" si="0"/>
        <v>9312205</v>
      </c>
      <c r="G30" s="128">
        <f t="shared" si="1"/>
        <v>118586</v>
      </c>
      <c r="H30" s="128">
        <f t="shared" si="2"/>
        <v>1231913</v>
      </c>
      <c r="I30" s="128">
        <f t="shared" si="3"/>
        <v>1231913</v>
      </c>
      <c r="J30" s="128">
        <f t="shared" si="4"/>
        <v>0</v>
      </c>
      <c r="K30" s="122">
        <f t="shared" si="5"/>
        <v>22375</v>
      </c>
      <c r="L30" s="122">
        <f t="shared" si="6"/>
        <v>96211</v>
      </c>
      <c r="M30" s="122">
        <f t="shared" si="7"/>
        <v>0</v>
      </c>
      <c r="N30" s="107"/>
      <c r="O30" s="122">
        <v>353259</v>
      </c>
      <c r="P30" s="128">
        <v>515075</v>
      </c>
      <c r="Q30" s="122">
        <v>1181729</v>
      </c>
      <c r="R30" s="107"/>
      <c r="S30" s="128">
        <v>-95997.315779680008</v>
      </c>
      <c r="T30" s="122">
        <v>-44649.434927039998</v>
      </c>
      <c r="U30" s="128">
        <v>-616508.50328784005</v>
      </c>
      <c r="V30" s="107"/>
      <c r="W30" s="128">
        <v>10258796</v>
      </c>
      <c r="X30" s="111"/>
      <c r="Y30" s="128">
        <v>2185699</v>
      </c>
      <c r="AA30" s="40"/>
    </row>
    <row r="31" spans="1:27" ht="20.100000000000001" customHeight="1" x14ac:dyDescent="0.25">
      <c r="A31" s="119">
        <v>125</v>
      </c>
      <c r="B31" s="63" t="s">
        <v>128</v>
      </c>
      <c r="C31" s="123">
        <f>'MFPRSI Supplemental Info 2018'!D31</f>
        <v>7.2205707454985057E-3</v>
      </c>
      <c r="D31" s="123">
        <v>6.8975098948919084E-3</v>
      </c>
      <c r="E31" s="128">
        <f>'MFPRSI Supplemental Info 2018'!W31</f>
        <v>4299153</v>
      </c>
      <c r="F31" s="128">
        <f t="shared" si="0"/>
        <v>4106801</v>
      </c>
      <c r="G31" s="128">
        <f t="shared" si="1"/>
        <v>-192352</v>
      </c>
      <c r="H31" s="128">
        <f t="shared" si="2"/>
        <v>543289</v>
      </c>
      <c r="I31" s="128">
        <f t="shared" si="3"/>
        <v>543289</v>
      </c>
      <c r="J31" s="128">
        <f t="shared" si="4"/>
        <v>0</v>
      </c>
      <c r="K31" s="122">
        <f t="shared" si="5"/>
        <v>-36293</v>
      </c>
      <c r="L31" s="122">
        <f t="shared" si="6"/>
        <v>0</v>
      </c>
      <c r="M31" s="122">
        <f t="shared" si="7"/>
        <v>-156059</v>
      </c>
      <c r="N31" s="107"/>
      <c r="O31" s="122">
        <v>155792</v>
      </c>
      <c r="P31" s="128">
        <v>227155</v>
      </c>
      <c r="Q31" s="122">
        <v>521158</v>
      </c>
      <c r="R31" s="107"/>
      <c r="S31" s="128">
        <v>-42336.040396229997</v>
      </c>
      <c r="T31" s="122">
        <v>-19690.970162940001</v>
      </c>
      <c r="U31" s="128">
        <v>-271888.11153549002</v>
      </c>
      <c r="V31" s="107"/>
      <c r="W31" s="128">
        <v>4524260</v>
      </c>
      <c r="X31" s="111"/>
      <c r="Y31" s="128">
        <v>963921</v>
      </c>
      <c r="AA31" s="40"/>
    </row>
    <row r="32" spans="1:27" ht="20.100000000000001" customHeight="1" x14ac:dyDescent="0.25">
      <c r="A32" s="119">
        <v>126</v>
      </c>
      <c r="B32" s="63" t="s">
        <v>129</v>
      </c>
      <c r="C32" s="123">
        <f>'MFPRSI Supplemental Info 2018'!D32</f>
        <v>3.9917199880288908E-3</v>
      </c>
      <c r="D32" s="123">
        <v>4.1054702268052204E-3</v>
      </c>
      <c r="E32" s="128">
        <f>'MFPRSI Supplemental Info 2018'!W32</f>
        <v>2376684</v>
      </c>
      <c r="F32" s="128">
        <f t="shared" si="0"/>
        <v>2444411</v>
      </c>
      <c r="G32" s="128">
        <f t="shared" si="1"/>
        <v>67727</v>
      </c>
      <c r="H32" s="128">
        <f t="shared" si="2"/>
        <v>323372</v>
      </c>
      <c r="I32" s="128">
        <f t="shared" si="3"/>
        <v>323372</v>
      </c>
      <c r="J32" s="128">
        <f t="shared" si="4"/>
        <v>0</v>
      </c>
      <c r="K32" s="122">
        <f t="shared" si="5"/>
        <v>12779</v>
      </c>
      <c r="L32" s="122">
        <f t="shared" si="6"/>
        <v>54948</v>
      </c>
      <c r="M32" s="122">
        <f t="shared" si="7"/>
        <v>0</v>
      </c>
      <c r="N32" s="107"/>
      <c r="O32" s="122">
        <v>92729</v>
      </c>
      <c r="P32" s="128">
        <v>135205</v>
      </c>
      <c r="Q32" s="122">
        <v>310198</v>
      </c>
      <c r="R32" s="107"/>
      <c r="S32" s="128">
        <v>-25198.85346531</v>
      </c>
      <c r="T32" s="122">
        <v>-11720.27112318</v>
      </c>
      <c r="U32" s="128">
        <v>-161830.64399553</v>
      </c>
      <c r="V32" s="107"/>
      <c r="W32" s="128">
        <v>2692887</v>
      </c>
      <c r="X32" s="111"/>
      <c r="Y32" s="128">
        <v>573736</v>
      </c>
      <c r="AA32" s="40"/>
    </row>
    <row r="33" spans="1:27" ht="20.100000000000001" customHeight="1" x14ac:dyDescent="0.25">
      <c r="A33" s="119">
        <v>127</v>
      </c>
      <c r="B33" s="63" t="s">
        <v>130</v>
      </c>
      <c r="C33" s="123">
        <f>'MFPRSI Supplemental Info 2018'!D33</f>
        <v>4.208999535133727E-3</v>
      </c>
      <c r="D33" s="123">
        <v>4.6272207034199278E-3</v>
      </c>
      <c r="E33" s="128">
        <f>'MFPRSI Supplemental Info 2018'!W33</f>
        <v>2506053</v>
      </c>
      <c r="F33" s="128">
        <f t="shared" si="0"/>
        <v>2755063</v>
      </c>
      <c r="G33" s="128">
        <f t="shared" si="1"/>
        <v>249010</v>
      </c>
      <c r="H33" s="128">
        <f t="shared" si="2"/>
        <v>364468</v>
      </c>
      <c r="I33" s="128">
        <f t="shared" si="3"/>
        <v>364468</v>
      </c>
      <c r="J33" s="128">
        <f t="shared" si="4"/>
        <v>0</v>
      </c>
      <c r="K33" s="122">
        <f t="shared" si="5"/>
        <v>46983</v>
      </c>
      <c r="L33" s="122">
        <f t="shared" si="6"/>
        <v>202027</v>
      </c>
      <c r="M33" s="122">
        <f t="shared" si="7"/>
        <v>0</v>
      </c>
      <c r="N33" s="107"/>
      <c r="O33" s="122">
        <v>104513</v>
      </c>
      <c r="P33" s="128">
        <v>152388</v>
      </c>
      <c r="Q33" s="122">
        <v>349620</v>
      </c>
      <c r="R33" s="107"/>
      <c r="S33" s="128">
        <v>-28401.288703059996</v>
      </c>
      <c r="T33" s="122">
        <v>-13209.759892679998</v>
      </c>
      <c r="U33" s="128">
        <v>-182397.14149877999</v>
      </c>
      <c r="V33" s="107"/>
      <c r="W33" s="128">
        <v>3035117</v>
      </c>
      <c r="X33" s="111"/>
      <c r="Y33" s="128">
        <v>646650</v>
      </c>
      <c r="AA33" s="40"/>
    </row>
    <row r="34" spans="1:27" ht="20.100000000000001" customHeight="1" x14ac:dyDescent="0.25">
      <c r="A34" s="119">
        <v>128</v>
      </c>
      <c r="B34" s="63" t="s">
        <v>131</v>
      </c>
      <c r="C34" s="123">
        <f>'MFPRSI Supplemental Info 2018'!D34</f>
        <v>3.7069700601199199E-2</v>
      </c>
      <c r="D34" s="123">
        <v>3.68488000674356E-2</v>
      </c>
      <c r="E34" s="128">
        <f>'MFPRSI Supplemental Info 2018'!W34</f>
        <v>22071429</v>
      </c>
      <c r="F34" s="128">
        <f t="shared" si="0"/>
        <v>21939904</v>
      </c>
      <c r="G34" s="128">
        <f t="shared" si="1"/>
        <v>-131525</v>
      </c>
      <c r="H34" s="128">
        <f t="shared" si="2"/>
        <v>2902433</v>
      </c>
      <c r="I34" s="128">
        <f t="shared" si="3"/>
        <v>2902433</v>
      </c>
      <c r="J34" s="128">
        <f t="shared" si="4"/>
        <v>0</v>
      </c>
      <c r="K34" s="122">
        <f t="shared" si="5"/>
        <v>-24816</v>
      </c>
      <c r="L34" s="122">
        <f t="shared" si="6"/>
        <v>0</v>
      </c>
      <c r="M34" s="122">
        <f t="shared" si="7"/>
        <v>-106709</v>
      </c>
      <c r="N34" s="107"/>
      <c r="O34" s="122">
        <v>832292</v>
      </c>
      <c r="P34" s="128">
        <v>1213537</v>
      </c>
      <c r="Q34" s="122">
        <v>2784198</v>
      </c>
      <c r="R34" s="107"/>
      <c r="S34" s="128">
        <v>-226173.2546024</v>
      </c>
      <c r="T34" s="122">
        <v>-105195.73314720001</v>
      </c>
      <c r="U34" s="128">
        <v>-1452517.0161912001</v>
      </c>
      <c r="V34" s="107"/>
      <c r="W34" s="128">
        <v>24170107</v>
      </c>
      <c r="X34" s="111"/>
      <c r="Y34" s="128">
        <v>5149589</v>
      </c>
      <c r="AA34" s="40"/>
    </row>
    <row r="35" spans="1:27" ht="20.100000000000001" customHeight="1" x14ac:dyDescent="0.25">
      <c r="A35" s="119">
        <v>129</v>
      </c>
      <c r="B35" s="63" t="s">
        <v>132</v>
      </c>
      <c r="C35" s="123">
        <f>'MFPRSI Supplemental Info 2018'!D35</f>
        <v>7.8512203943474721E-3</v>
      </c>
      <c r="D35" s="123">
        <v>7.6678095349420128E-3</v>
      </c>
      <c r="E35" s="128">
        <f>'MFPRSI Supplemental Info 2018'!W35</f>
        <v>4674644</v>
      </c>
      <c r="F35" s="128">
        <f t="shared" si="0"/>
        <v>4565441</v>
      </c>
      <c r="G35" s="128">
        <f t="shared" si="1"/>
        <v>-109203</v>
      </c>
      <c r="H35" s="128">
        <f t="shared" si="2"/>
        <v>603963</v>
      </c>
      <c r="I35" s="128">
        <f t="shared" si="3"/>
        <v>603963</v>
      </c>
      <c r="J35" s="128">
        <f t="shared" si="4"/>
        <v>0</v>
      </c>
      <c r="K35" s="122">
        <f t="shared" si="5"/>
        <v>-20604</v>
      </c>
      <c r="L35" s="122">
        <f t="shared" si="6"/>
        <v>0</v>
      </c>
      <c r="M35" s="122">
        <f t="shared" si="7"/>
        <v>-88599</v>
      </c>
      <c r="N35" s="107"/>
      <c r="O35" s="122">
        <v>173190</v>
      </c>
      <c r="P35" s="128">
        <v>252523</v>
      </c>
      <c r="Q35" s="122">
        <v>579359</v>
      </c>
      <c r="R35" s="107"/>
      <c r="S35" s="128">
        <v>-47064.043968129998</v>
      </c>
      <c r="T35" s="122">
        <v>-21890.017981139998</v>
      </c>
      <c r="U35" s="128">
        <v>-302252.02725519001</v>
      </c>
      <c r="V35" s="107"/>
      <c r="W35" s="128">
        <v>5029520</v>
      </c>
      <c r="X35" s="111"/>
      <c r="Y35" s="128">
        <v>1071570</v>
      </c>
      <c r="AA35" s="40"/>
    </row>
    <row r="36" spans="1:27" ht="20.100000000000001" customHeight="1" x14ac:dyDescent="0.25">
      <c r="A36" s="119">
        <v>130</v>
      </c>
      <c r="B36" s="63" t="s">
        <v>133</v>
      </c>
      <c r="C36" s="123">
        <f>'MFPRSI Supplemental Info 2018'!D36</f>
        <v>2.7070886133389407E-3</v>
      </c>
      <c r="D36" s="123">
        <v>2.518300184909875E-3</v>
      </c>
      <c r="E36" s="128">
        <f>'MFPRSI Supplemental Info 2018'!W36</f>
        <v>1611810</v>
      </c>
      <c r="F36" s="128">
        <f t="shared" si="0"/>
        <v>1499405</v>
      </c>
      <c r="G36" s="128">
        <f t="shared" si="1"/>
        <v>-112405</v>
      </c>
      <c r="H36" s="128">
        <f t="shared" si="2"/>
        <v>198356</v>
      </c>
      <c r="I36" s="128">
        <f t="shared" si="3"/>
        <v>198356</v>
      </c>
      <c r="J36" s="128">
        <f t="shared" si="4"/>
        <v>0</v>
      </c>
      <c r="K36" s="122">
        <f t="shared" si="5"/>
        <v>-21208</v>
      </c>
      <c r="L36" s="122">
        <f t="shared" si="6"/>
        <v>0</v>
      </c>
      <c r="M36" s="122">
        <f t="shared" si="7"/>
        <v>-91197</v>
      </c>
      <c r="N36" s="107"/>
      <c r="O36" s="122">
        <v>56880</v>
      </c>
      <c r="P36" s="128">
        <v>82935</v>
      </c>
      <c r="Q36" s="122">
        <v>190276</v>
      </c>
      <c r="R36" s="107"/>
      <c r="S36" s="128">
        <v>-15457.005575899999</v>
      </c>
      <c r="T36" s="122">
        <v>-7189.2277301999993</v>
      </c>
      <c r="U36" s="128">
        <v>-99267.102371699992</v>
      </c>
      <c r="V36" s="107"/>
      <c r="W36" s="128">
        <v>1651820</v>
      </c>
      <c r="X36" s="111"/>
      <c r="Y36" s="128">
        <v>351930</v>
      </c>
      <c r="AA36" s="40"/>
    </row>
    <row r="37" spans="1:27" ht="20.100000000000001" customHeight="1" x14ac:dyDescent="0.25">
      <c r="A37" s="119">
        <v>131</v>
      </c>
      <c r="B37" s="67" t="s">
        <v>134</v>
      </c>
      <c r="C37" s="123">
        <f>'MFPRSI Supplemental Info 2018'!D37</f>
        <v>3.1899594837273768E-3</v>
      </c>
      <c r="D37" s="123">
        <v>3.2675197214034487E-3</v>
      </c>
      <c r="E37" s="128">
        <f>'MFPRSI Supplemental Info 2018'!W37</f>
        <v>1899313</v>
      </c>
      <c r="F37" s="128">
        <f t="shared" si="0"/>
        <v>1945493</v>
      </c>
      <c r="G37" s="128">
        <f t="shared" si="1"/>
        <v>46180</v>
      </c>
      <c r="H37" s="128">
        <f t="shared" si="2"/>
        <v>257370</v>
      </c>
      <c r="I37" s="128">
        <f t="shared" si="3"/>
        <v>257370</v>
      </c>
      <c r="J37" s="128">
        <f t="shared" si="4"/>
        <v>0</v>
      </c>
      <c r="K37" s="122">
        <f t="shared" si="5"/>
        <v>8713</v>
      </c>
      <c r="L37" s="122">
        <f t="shared" si="6"/>
        <v>37467</v>
      </c>
      <c r="M37" s="122">
        <f t="shared" si="7"/>
        <v>0</v>
      </c>
      <c r="N37" s="107"/>
      <c r="O37" s="122">
        <v>73802</v>
      </c>
      <c r="P37" s="128">
        <v>107609</v>
      </c>
      <c r="Q37" s="122">
        <v>246885</v>
      </c>
      <c r="R37" s="107"/>
      <c r="S37" s="128">
        <v>-20055.62278496</v>
      </c>
      <c r="T37" s="122">
        <v>-9328.0964908799997</v>
      </c>
      <c r="U37" s="128">
        <v>-128800.08034848</v>
      </c>
      <c r="V37" s="107"/>
      <c r="W37" s="128">
        <v>2143253</v>
      </c>
      <c r="X37" s="111"/>
      <c r="Y37" s="128">
        <v>456633</v>
      </c>
      <c r="AA37" s="40"/>
    </row>
    <row r="38" spans="1:27" ht="20.100000000000001" customHeight="1" x14ac:dyDescent="0.25">
      <c r="A38" s="119">
        <v>132</v>
      </c>
      <c r="B38" s="63" t="s">
        <v>135</v>
      </c>
      <c r="C38" s="123">
        <f>'MFPRSI Supplemental Info 2018'!D38</f>
        <v>2.0860996401923996E-3</v>
      </c>
      <c r="D38" s="123">
        <v>2.063349868664948E-3</v>
      </c>
      <c r="E38" s="128">
        <f>'MFPRSI Supplemental Info 2018'!W38</f>
        <v>1242071</v>
      </c>
      <c r="F38" s="128">
        <f t="shared" si="0"/>
        <v>1228526</v>
      </c>
      <c r="G38" s="128">
        <f t="shared" si="1"/>
        <v>-13545</v>
      </c>
      <c r="H38" s="128">
        <f t="shared" si="2"/>
        <v>162522</v>
      </c>
      <c r="I38" s="128">
        <f t="shared" si="3"/>
        <v>162522</v>
      </c>
      <c r="J38" s="128">
        <f t="shared" si="4"/>
        <v>0</v>
      </c>
      <c r="K38" s="122">
        <f t="shared" si="5"/>
        <v>-2556</v>
      </c>
      <c r="L38" s="122">
        <f t="shared" si="6"/>
        <v>0</v>
      </c>
      <c r="M38" s="122">
        <f t="shared" si="7"/>
        <v>-10989</v>
      </c>
      <c r="N38" s="107"/>
      <c r="O38" s="122">
        <v>46604</v>
      </c>
      <c r="P38" s="128">
        <v>67952</v>
      </c>
      <c r="Q38" s="122">
        <v>155901</v>
      </c>
      <c r="R38" s="107"/>
      <c r="S38" s="128">
        <v>-12664.580254549999</v>
      </c>
      <c r="T38" s="122">
        <v>-5890.439199899999</v>
      </c>
      <c r="U38" s="128">
        <v>-81333.747241649995</v>
      </c>
      <c r="V38" s="107"/>
      <c r="W38" s="128">
        <v>1353406</v>
      </c>
      <c r="X38" s="111"/>
      <c r="Y38" s="128">
        <v>288351</v>
      </c>
      <c r="AA38" s="40"/>
    </row>
    <row r="39" spans="1:27" ht="20.100000000000001" customHeight="1" x14ac:dyDescent="0.25">
      <c r="A39" s="119">
        <v>133</v>
      </c>
      <c r="B39" s="67" t="s">
        <v>136</v>
      </c>
      <c r="C39" s="123">
        <f>'MFPRSI Supplemental Info 2018'!D39</f>
        <v>2.0331150663885848E-2</v>
      </c>
      <c r="D39" s="123">
        <v>2.0318440553976098E-2</v>
      </c>
      <c r="E39" s="128">
        <f>'MFPRSI Supplemental Info 2018'!W39</f>
        <v>12105238</v>
      </c>
      <c r="F39" s="128">
        <f t="shared" si="0"/>
        <v>12097670</v>
      </c>
      <c r="G39" s="128">
        <f t="shared" si="1"/>
        <v>-7568</v>
      </c>
      <c r="H39" s="128">
        <f t="shared" si="2"/>
        <v>1600403</v>
      </c>
      <c r="I39" s="128">
        <f t="shared" si="3"/>
        <v>1600403</v>
      </c>
      <c r="J39" s="128">
        <f t="shared" si="4"/>
        <v>0</v>
      </c>
      <c r="K39" s="122">
        <f t="shared" si="5"/>
        <v>-1428</v>
      </c>
      <c r="L39" s="122">
        <f t="shared" si="6"/>
        <v>0</v>
      </c>
      <c r="M39" s="122">
        <f t="shared" si="7"/>
        <v>-6140</v>
      </c>
      <c r="N39" s="107"/>
      <c r="O39" s="122">
        <v>458926</v>
      </c>
      <c r="P39" s="128">
        <v>669145</v>
      </c>
      <c r="Q39" s="122">
        <v>1535208</v>
      </c>
      <c r="R39" s="107"/>
      <c r="S39" s="128">
        <v>-124712.00427812</v>
      </c>
      <c r="T39" s="122">
        <v>-58004.960601359999</v>
      </c>
      <c r="U39" s="128">
        <v>-800918.34313356003</v>
      </c>
      <c r="V39" s="107"/>
      <c r="W39" s="128">
        <v>13327405</v>
      </c>
      <c r="X39" s="111"/>
      <c r="Y39" s="128">
        <v>2839485</v>
      </c>
      <c r="AA39" s="40"/>
    </row>
    <row r="40" spans="1:27" ht="20.100000000000001" customHeight="1" x14ac:dyDescent="0.25">
      <c r="A40" s="119">
        <v>134</v>
      </c>
      <c r="B40" s="63" t="s">
        <v>137</v>
      </c>
      <c r="C40" s="123">
        <f>'MFPRSI Supplemental Info 2018'!D40</f>
        <v>1.5347239644231375E-2</v>
      </c>
      <c r="D40" s="123">
        <v>1.4443080136916973E-2</v>
      </c>
      <c r="E40" s="128">
        <f>'MFPRSI Supplemental Info 2018'!W40</f>
        <v>9137800</v>
      </c>
      <c r="F40" s="128">
        <f t="shared" si="0"/>
        <v>8599460</v>
      </c>
      <c r="G40" s="128">
        <f t="shared" si="1"/>
        <v>-538340</v>
      </c>
      <c r="H40" s="128">
        <f t="shared" si="2"/>
        <v>1137624</v>
      </c>
      <c r="I40" s="128">
        <f t="shared" si="3"/>
        <v>1137624</v>
      </c>
      <c r="J40" s="128">
        <f t="shared" si="4"/>
        <v>0</v>
      </c>
      <c r="K40" s="122">
        <f t="shared" si="5"/>
        <v>-101574</v>
      </c>
      <c r="L40" s="122">
        <f t="shared" si="6"/>
        <v>0</v>
      </c>
      <c r="M40" s="122">
        <f t="shared" si="7"/>
        <v>-436766</v>
      </c>
      <c r="N40" s="107"/>
      <c r="O40" s="122">
        <v>326221</v>
      </c>
      <c r="P40" s="128">
        <v>475652</v>
      </c>
      <c r="Q40" s="122">
        <v>1091281</v>
      </c>
      <c r="R40" s="107"/>
      <c r="S40" s="128">
        <v>-88649.790768840001</v>
      </c>
      <c r="T40" s="122">
        <v>-41232.01812552</v>
      </c>
      <c r="U40" s="128">
        <v>-569321.64592092007</v>
      </c>
      <c r="V40" s="107"/>
      <c r="W40" s="128">
        <v>9473600</v>
      </c>
      <c r="X40" s="111"/>
      <c r="Y40" s="128">
        <v>2018408</v>
      </c>
      <c r="AA40" s="40"/>
    </row>
    <row r="41" spans="1:27" ht="20.100000000000001" customHeight="1" x14ac:dyDescent="0.25">
      <c r="A41" s="119">
        <v>135</v>
      </c>
      <c r="B41" s="67" t="s">
        <v>138</v>
      </c>
      <c r="C41" s="123">
        <f>'MFPRSI Supplemental Info 2018'!D41</f>
        <v>2.0147730508672683E-2</v>
      </c>
      <c r="D41" s="123">
        <v>1.9524470581401315E-2</v>
      </c>
      <c r="E41" s="128">
        <f>'MFPRSI Supplemental Info 2018'!W41</f>
        <v>11996029</v>
      </c>
      <c r="F41" s="128">
        <f t="shared" si="0"/>
        <v>11624938</v>
      </c>
      <c r="G41" s="128">
        <f t="shared" si="1"/>
        <v>-371091</v>
      </c>
      <c r="H41" s="128">
        <f t="shared" si="2"/>
        <v>1537865</v>
      </c>
      <c r="I41" s="128">
        <f t="shared" si="3"/>
        <v>1537865</v>
      </c>
      <c r="J41" s="128">
        <f t="shared" si="4"/>
        <v>0</v>
      </c>
      <c r="K41" s="122">
        <f t="shared" si="5"/>
        <v>-70017</v>
      </c>
      <c r="L41" s="122">
        <f t="shared" si="6"/>
        <v>0</v>
      </c>
      <c r="M41" s="122">
        <f t="shared" si="7"/>
        <v>-301074</v>
      </c>
      <c r="N41" s="107"/>
      <c r="O41" s="122">
        <v>440993</v>
      </c>
      <c r="P41" s="128">
        <v>642997</v>
      </c>
      <c r="Q41" s="122">
        <v>1475217</v>
      </c>
      <c r="R41" s="107"/>
      <c r="S41" s="128">
        <v>-119838.71725230999</v>
      </c>
      <c r="T41" s="122">
        <v>-55738.339809179997</v>
      </c>
      <c r="U41" s="128">
        <v>-769621.39627652999</v>
      </c>
      <c r="V41" s="107"/>
      <c r="W41" s="128">
        <v>12806619</v>
      </c>
      <c r="X41" s="111"/>
      <c r="Y41" s="128">
        <v>2728528</v>
      </c>
      <c r="AA41" s="40"/>
    </row>
    <row r="42" spans="1:27" ht="20.100000000000001" customHeight="1" x14ac:dyDescent="0.25">
      <c r="A42" s="119">
        <v>136</v>
      </c>
      <c r="B42" s="67" t="s">
        <v>139</v>
      </c>
      <c r="C42" s="123">
        <f>'MFPRSI Supplemental Info 2018'!D42</f>
        <v>1.7889440073097857E-2</v>
      </c>
      <c r="D42" s="123">
        <v>1.7681360304830099E-2</v>
      </c>
      <c r="E42" s="128">
        <f>'MFPRSI Supplemental Info 2018'!W42</f>
        <v>10651435</v>
      </c>
      <c r="F42" s="128">
        <f t="shared" si="0"/>
        <v>10527544</v>
      </c>
      <c r="G42" s="128">
        <f t="shared" si="1"/>
        <v>-123891</v>
      </c>
      <c r="H42" s="128">
        <f t="shared" si="2"/>
        <v>1392690</v>
      </c>
      <c r="I42" s="128">
        <f t="shared" si="3"/>
        <v>1392690</v>
      </c>
      <c r="J42" s="128">
        <f t="shared" si="4"/>
        <v>0</v>
      </c>
      <c r="K42" s="122">
        <f t="shared" si="5"/>
        <v>-23376</v>
      </c>
      <c r="L42" s="122">
        <f t="shared" si="6"/>
        <v>0</v>
      </c>
      <c r="M42" s="122">
        <f t="shared" si="7"/>
        <v>-100515</v>
      </c>
      <c r="N42" s="107"/>
      <c r="O42" s="122">
        <v>399363</v>
      </c>
      <c r="P42" s="128">
        <v>582298</v>
      </c>
      <c r="Q42" s="122">
        <v>1335957</v>
      </c>
      <c r="R42" s="107"/>
      <c r="S42" s="128">
        <v>-108525.94214728</v>
      </c>
      <c r="T42" s="122">
        <v>-50476.640439839997</v>
      </c>
      <c r="U42" s="128">
        <v>-696969.13520664</v>
      </c>
      <c r="V42" s="107"/>
      <c r="W42" s="128">
        <v>11597674</v>
      </c>
      <c r="X42" s="111"/>
      <c r="Y42" s="128">
        <v>2470955</v>
      </c>
      <c r="AA42" s="40"/>
    </row>
    <row r="43" spans="1:27" ht="20.100000000000001" customHeight="1" x14ac:dyDescent="0.25">
      <c r="A43" s="119">
        <v>137</v>
      </c>
      <c r="B43" s="67" t="s">
        <v>140</v>
      </c>
      <c r="C43" s="123">
        <f>'MFPRSI Supplemental Info 2018'!D43</f>
        <v>1.0651340038255436E-2</v>
      </c>
      <c r="D43" s="123">
        <v>9.8543896611085445E-3</v>
      </c>
      <c r="E43" s="128">
        <f>'MFPRSI Supplemental Info 2018'!W43</f>
        <v>6341845</v>
      </c>
      <c r="F43" s="128">
        <f t="shared" si="0"/>
        <v>5867338</v>
      </c>
      <c r="G43" s="128">
        <f t="shared" si="1"/>
        <v>-474507</v>
      </c>
      <c r="H43" s="128">
        <f t="shared" si="2"/>
        <v>776191</v>
      </c>
      <c r="I43" s="128">
        <f t="shared" si="3"/>
        <v>776191</v>
      </c>
      <c r="J43" s="128">
        <f t="shared" si="4"/>
        <v>0</v>
      </c>
      <c r="K43" s="122">
        <f t="shared" si="5"/>
        <v>-89530</v>
      </c>
      <c r="L43" s="122">
        <f t="shared" si="6"/>
        <v>0</v>
      </c>
      <c r="M43" s="122">
        <f t="shared" si="7"/>
        <v>-384977</v>
      </c>
      <c r="N43" s="107"/>
      <c r="O43" s="122">
        <v>222578</v>
      </c>
      <c r="P43" s="128">
        <v>324533</v>
      </c>
      <c r="Q43" s="122">
        <v>744572</v>
      </c>
      <c r="R43" s="107"/>
      <c r="S43" s="128">
        <v>-60484.994312469993</v>
      </c>
      <c r="T43" s="122">
        <v>-28132.253445659997</v>
      </c>
      <c r="U43" s="128">
        <v>-388443.29148260999</v>
      </c>
      <c r="V43" s="107"/>
      <c r="W43" s="128">
        <v>6463756</v>
      </c>
      <c r="X43" s="111"/>
      <c r="Y43" s="128">
        <v>1377143</v>
      </c>
      <c r="AA43" s="40"/>
    </row>
    <row r="44" spans="1:27" ht="20.100000000000001" customHeight="1" x14ac:dyDescent="0.25">
      <c r="A44" s="119">
        <v>138</v>
      </c>
      <c r="B44" s="67" t="s">
        <v>141</v>
      </c>
      <c r="C44" s="123">
        <f>'MFPRSI Supplemental Info 2018'!D44</f>
        <v>2.0292289621743516E-3</v>
      </c>
      <c r="D44" s="123">
        <v>2.0860200892395928E-3</v>
      </c>
      <c r="E44" s="128">
        <f>'MFPRSI Supplemental Info 2018'!W44</f>
        <v>1208210</v>
      </c>
      <c r="F44" s="128">
        <f t="shared" si="0"/>
        <v>1242024</v>
      </c>
      <c r="G44" s="128">
        <f t="shared" si="1"/>
        <v>33814</v>
      </c>
      <c r="H44" s="128">
        <f t="shared" si="2"/>
        <v>164307</v>
      </c>
      <c r="I44" s="128">
        <f t="shared" si="3"/>
        <v>164307</v>
      </c>
      <c r="J44" s="128">
        <f t="shared" si="4"/>
        <v>0</v>
      </c>
      <c r="K44" s="122">
        <f t="shared" si="5"/>
        <v>6380</v>
      </c>
      <c r="L44" s="122">
        <f t="shared" si="6"/>
        <v>27434</v>
      </c>
      <c r="M44" s="122">
        <f t="shared" si="7"/>
        <v>0</v>
      </c>
      <c r="N44" s="107"/>
      <c r="O44" s="122">
        <v>47116</v>
      </c>
      <c r="P44" s="128">
        <v>68699</v>
      </c>
      <c r="Q44" s="122">
        <v>157614</v>
      </c>
      <c r="R44" s="107"/>
      <c r="S44" s="128">
        <v>-12803.72583546</v>
      </c>
      <c r="T44" s="122">
        <v>-5955.15737988</v>
      </c>
      <c r="U44" s="128">
        <v>-82227.360079980004</v>
      </c>
      <c r="V44" s="107"/>
      <c r="W44" s="128">
        <v>1368276</v>
      </c>
      <c r="X44" s="111"/>
      <c r="Y44" s="128">
        <v>291520</v>
      </c>
      <c r="AA44" s="40"/>
    </row>
    <row r="45" spans="1:27" ht="20.100000000000001" customHeight="1" x14ac:dyDescent="0.25">
      <c r="A45" s="119">
        <v>139</v>
      </c>
      <c r="B45" s="63" t="s">
        <v>142</v>
      </c>
      <c r="C45" s="123">
        <f>'MFPRSI Supplemental Info 2018'!D45</f>
        <v>4.3971895649982983E-3</v>
      </c>
      <c r="D45" s="123">
        <v>4.3113804710051317E-3</v>
      </c>
      <c r="E45" s="128">
        <f>'MFPRSI Supplemental Info 2018'!W45</f>
        <v>2618102</v>
      </c>
      <c r="F45" s="128">
        <f t="shared" si="0"/>
        <v>2567011</v>
      </c>
      <c r="G45" s="128">
        <f t="shared" si="1"/>
        <v>-51091</v>
      </c>
      <c r="H45" s="128">
        <f t="shared" si="2"/>
        <v>339590</v>
      </c>
      <c r="I45" s="128">
        <f t="shared" si="3"/>
        <v>339590</v>
      </c>
      <c r="J45" s="128">
        <f t="shared" si="4"/>
        <v>0</v>
      </c>
      <c r="K45" s="122">
        <f t="shared" si="5"/>
        <v>-9640</v>
      </c>
      <c r="L45" s="122">
        <f t="shared" si="6"/>
        <v>0</v>
      </c>
      <c r="M45" s="122">
        <f t="shared" si="7"/>
        <v>-41451</v>
      </c>
      <c r="N45" s="107"/>
      <c r="O45" s="122">
        <v>97380</v>
      </c>
      <c r="P45" s="128">
        <v>141986</v>
      </c>
      <c r="Q45" s="122">
        <v>325756</v>
      </c>
      <c r="R45" s="107"/>
      <c r="S45" s="128">
        <v>-26462.702894739999</v>
      </c>
      <c r="T45" s="122">
        <v>-12308.101755719999</v>
      </c>
      <c r="U45" s="128">
        <v>-169947.26594262</v>
      </c>
      <c r="V45" s="107"/>
      <c r="W45" s="128">
        <v>2827949</v>
      </c>
      <c r="X45" s="111"/>
      <c r="Y45" s="128">
        <v>602512</v>
      </c>
      <c r="AA45" s="40"/>
    </row>
    <row r="46" spans="1:27" ht="20.100000000000001" customHeight="1" x14ac:dyDescent="0.25">
      <c r="A46" s="119">
        <v>140</v>
      </c>
      <c r="B46" s="67" t="s">
        <v>143</v>
      </c>
      <c r="C46" s="123">
        <f>'MFPRSI Supplemental Info 2018'!D46</f>
        <v>1.3632090132518824E-2</v>
      </c>
      <c r="D46" s="123">
        <v>1.4231390282347291E-2</v>
      </c>
      <c r="E46" s="128">
        <f>'MFPRSI Supplemental Info 2018'!W46</f>
        <v>8116594</v>
      </c>
      <c r="F46" s="128">
        <f t="shared" si="0"/>
        <v>8473419</v>
      </c>
      <c r="G46" s="128">
        <f t="shared" si="1"/>
        <v>356825</v>
      </c>
      <c r="H46" s="128">
        <f t="shared" si="2"/>
        <v>1120950</v>
      </c>
      <c r="I46" s="128">
        <f t="shared" si="3"/>
        <v>1120950</v>
      </c>
      <c r="J46" s="128">
        <f t="shared" si="4"/>
        <v>0</v>
      </c>
      <c r="K46" s="122">
        <f t="shared" si="5"/>
        <v>67325</v>
      </c>
      <c r="L46" s="122">
        <f t="shared" si="6"/>
        <v>289500</v>
      </c>
      <c r="M46" s="122">
        <f t="shared" si="7"/>
        <v>0</v>
      </c>
      <c r="N46" s="107"/>
      <c r="O46" s="122">
        <v>321440</v>
      </c>
      <c r="P46" s="128">
        <v>468681</v>
      </c>
      <c r="Q46" s="122">
        <v>1075286</v>
      </c>
      <c r="R46" s="107"/>
      <c r="S46" s="128">
        <v>-87350.464433469999</v>
      </c>
      <c r="T46" s="122">
        <v>-40627.686783659999</v>
      </c>
      <c r="U46" s="128">
        <v>-560977.18620561005</v>
      </c>
      <c r="V46" s="107"/>
      <c r="W46" s="128">
        <v>9334747</v>
      </c>
      <c r="X46" s="111"/>
      <c r="Y46" s="128">
        <v>1988825</v>
      </c>
      <c r="AA46" s="40"/>
    </row>
    <row r="47" spans="1:27" ht="20.100000000000001" customHeight="1" x14ac:dyDescent="0.25">
      <c r="A47" s="119">
        <v>141</v>
      </c>
      <c r="B47" s="68" t="s">
        <v>144</v>
      </c>
      <c r="C47" s="123">
        <f>'MFPRSI Supplemental Info 2018'!D47</f>
        <v>3.5149592598875726E-3</v>
      </c>
      <c r="D47" s="123">
        <v>3.5484505583429113E-3</v>
      </c>
      <c r="E47" s="128">
        <f>'MFPRSI Supplemental Info 2018'!W47</f>
        <v>2092819</v>
      </c>
      <c r="F47" s="128">
        <f t="shared" si="0"/>
        <v>2112760</v>
      </c>
      <c r="G47" s="128">
        <f t="shared" si="1"/>
        <v>19941</v>
      </c>
      <c r="H47" s="128">
        <f t="shared" si="2"/>
        <v>279497</v>
      </c>
      <c r="I47" s="128">
        <f t="shared" si="3"/>
        <v>279497</v>
      </c>
      <c r="J47" s="128">
        <f t="shared" si="4"/>
        <v>0</v>
      </c>
      <c r="K47" s="122">
        <f t="shared" si="5"/>
        <v>3762</v>
      </c>
      <c r="L47" s="122">
        <f t="shared" si="6"/>
        <v>16179</v>
      </c>
      <c r="M47" s="122">
        <f t="shared" si="7"/>
        <v>0</v>
      </c>
      <c r="N47" s="107"/>
      <c r="O47" s="122">
        <v>80148</v>
      </c>
      <c r="P47" s="128">
        <v>116861</v>
      </c>
      <c r="Q47" s="122">
        <v>268111</v>
      </c>
      <c r="R47" s="107"/>
      <c r="S47" s="128">
        <v>-21779.935446849999</v>
      </c>
      <c r="T47" s="122">
        <v>-10130.0937693</v>
      </c>
      <c r="U47" s="128">
        <v>-139873.86308655</v>
      </c>
      <c r="V47" s="107"/>
      <c r="W47" s="128">
        <v>2327523</v>
      </c>
      <c r="X47" s="111"/>
      <c r="Y47" s="128">
        <v>495893</v>
      </c>
      <c r="AA47" s="40"/>
    </row>
    <row r="48" spans="1:27" ht="20.100000000000001" customHeight="1" x14ac:dyDescent="0.25">
      <c r="A48" s="119">
        <v>142</v>
      </c>
      <c r="B48" s="63" t="s">
        <v>145</v>
      </c>
      <c r="C48" s="123">
        <f>'MFPRSI Supplemental Info 2018'!D48</f>
        <v>6.2787380014118058E-2</v>
      </c>
      <c r="D48" s="123">
        <v>6.2324020602373249E-2</v>
      </c>
      <c r="E48" s="128">
        <f>'MFPRSI Supplemental Info 2018'!W48</f>
        <v>37383825</v>
      </c>
      <c r="F48" s="128">
        <f t="shared" si="0"/>
        <v>37107939</v>
      </c>
      <c r="G48" s="128">
        <f t="shared" si="1"/>
        <v>-275886</v>
      </c>
      <c r="H48" s="128">
        <f t="shared" si="2"/>
        <v>4909015</v>
      </c>
      <c r="I48" s="128">
        <f t="shared" si="3"/>
        <v>4909015</v>
      </c>
      <c r="J48" s="128">
        <f t="shared" si="4"/>
        <v>0</v>
      </c>
      <c r="K48" s="122">
        <f t="shared" si="5"/>
        <v>-52054</v>
      </c>
      <c r="L48" s="122">
        <f t="shared" si="6"/>
        <v>0</v>
      </c>
      <c r="M48" s="122">
        <f t="shared" si="7"/>
        <v>-223832</v>
      </c>
      <c r="N48" s="107"/>
      <c r="O48" s="122">
        <v>1407692</v>
      </c>
      <c r="P48" s="128">
        <v>2052509</v>
      </c>
      <c r="Q48" s="122">
        <v>4709038</v>
      </c>
      <c r="R48" s="107"/>
      <c r="S48" s="128">
        <v>-382536.91960945999</v>
      </c>
      <c r="T48" s="122">
        <v>-177922.23835187999</v>
      </c>
      <c r="U48" s="128">
        <v>-2456706.8552419799</v>
      </c>
      <c r="V48" s="107"/>
      <c r="W48" s="128">
        <v>40879981</v>
      </c>
      <c r="X48" s="111"/>
      <c r="Y48" s="128">
        <v>8709729</v>
      </c>
      <c r="AA48" s="40"/>
    </row>
    <row r="49" spans="1:27" ht="20.100000000000001" customHeight="1" x14ac:dyDescent="0.25">
      <c r="A49" s="119">
        <v>143</v>
      </c>
      <c r="B49" s="63" t="s">
        <v>146</v>
      </c>
      <c r="C49" s="123">
        <f>'MFPRSI Supplemental Info 2018'!D49</f>
        <v>4.9091902614268696E-3</v>
      </c>
      <c r="D49" s="123">
        <v>4.7551496576135792E-3</v>
      </c>
      <c r="E49" s="128">
        <f>'MFPRSI Supplemental Info 2018'!W49</f>
        <v>2922949</v>
      </c>
      <c r="F49" s="128">
        <f t="shared" si="0"/>
        <v>2831233</v>
      </c>
      <c r="G49" s="128">
        <f t="shared" si="1"/>
        <v>-91716</v>
      </c>
      <c r="H49" s="128">
        <f t="shared" si="2"/>
        <v>374544</v>
      </c>
      <c r="I49" s="128">
        <f t="shared" si="3"/>
        <v>374544</v>
      </c>
      <c r="J49" s="128">
        <f t="shared" si="4"/>
        <v>0</v>
      </c>
      <c r="K49" s="122">
        <f t="shared" si="5"/>
        <v>-17305</v>
      </c>
      <c r="L49" s="122">
        <f t="shared" si="6"/>
        <v>0</v>
      </c>
      <c r="M49" s="122">
        <f t="shared" si="7"/>
        <v>-74411</v>
      </c>
      <c r="N49" s="107"/>
      <c r="O49" s="122">
        <v>107403</v>
      </c>
      <c r="P49" s="128">
        <v>156601</v>
      </c>
      <c r="Q49" s="122">
        <v>359287</v>
      </c>
      <c r="R49" s="107"/>
      <c r="S49" s="128">
        <v>-29186.506795949997</v>
      </c>
      <c r="T49" s="122">
        <v>-13574.973689099999</v>
      </c>
      <c r="U49" s="128">
        <v>-187439.92448984997</v>
      </c>
      <c r="V49" s="107"/>
      <c r="W49" s="128">
        <v>3119029</v>
      </c>
      <c r="X49" s="111"/>
      <c r="Y49" s="128">
        <v>664528</v>
      </c>
      <c r="AA49" s="40"/>
    </row>
    <row r="50" spans="1:27" ht="20.100000000000001" customHeight="1" x14ac:dyDescent="0.25">
      <c r="A50" s="119">
        <v>144</v>
      </c>
      <c r="B50" s="63" t="s">
        <v>147</v>
      </c>
      <c r="C50" s="123">
        <f>'MFPRSI Supplemental Info 2018'!D50</f>
        <v>3.6187191493556032E-3</v>
      </c>
      <c r="D50" s="123">
        <v>3.7785296664816148E-3</v>
      </c>
      <c r="E50" s="128">
        <f>'MFPRSI Supplemental Info 2018'!W50</f>
        <v>2154598</v>
      </c>
      <c r="F50" s="128">
        <f t="shared" si="0"/>
        <v>2249750</v>
      </c>
      <c r="G50" s="128">
        <f t="shared" si="1"/>
        <v>95152</v>
      </c>
      <c r="H50" s="128">
        <f t="shared" si="2"/>
        <v>297620</v>
      </c>
      <c r="I50" s="128">
        <f t="shared" si="3"/>
        <v>297620</v>
      </c>
      <c r="J50" s="128">
        <f t="shared" si="4"/>
        <v>0</v>
      </c>
      <c r="K50" s="122">
        <f t="shared" si="5"/>
        <v>17953</v>
      </c>
      <c r="L50" s="122">
        <f t="shared" si="6"/>
        <v>77199</v>
      </c>
      <c r="M50" s="122">
        <f t="shared" si="7"/>
        <v>0</v>
      </c>
      <c r="N50" s="107"/>
      <c r="O50" s="122">
        <v>85344</v>
      </c>
      <c r="P50" s="128">
        <v>124438</v>
      </c>
      <c r="Q50" s="122">
        <v>285496</v>
      </c>
      <c r="R50" s="107"/>
      <c r="S50" s="128">
        <v>-23192.137266689999</v>
      </c>
      <c r="T50" s="122">
        <v>-10786.924772820001</v>
      </c>
      <c r="U50" s="128">
        <v>-148943.22532047</v>
      </c>
      <c r="V50" s="107"/>
      <c r="W50" s="128">
        <v>2478438</v>
      </c>
      <c r="X50" s="111"/>
      <c r="Y50" s="128">
        <v>528046</v>
      </c>
      <c r="AA50" s="40"/>
    </row>
    <row r="51" spans="1:27" ht="20.100000000000001" customHeight="1" x14ac:dyDescent="0.25">
      <c r="A51" s="119">
        <v>145</v>
      </c>
      <c r="B51" s="63" t="s">
        <v>148</v>
      </c>
      <c r="C51" s="123">
        <f>'MFPRSI Supplemental Info 2018'!D51</f>
        <v>2.0981269463072525E-2</v>
      </c>
      <c r="D51" s="123">
        <v>2.1816120395635324E-2</v>
      </c>
      <c r="E51" s="128">
        <f>'MFPRSI Supplemental Info 2018'!W51</f>
        <v>12492321</v>
      </c>
      <c r="F51" s="128">
        <f t="shared" si="0"/>
        <v>12989394</v>
      </c>
      <c r="G51" s="128">
        <f t="shared" si="1"/>
        <v>497073</v>
      </c>
      <c r="H51" s="128">
        <f t="shared" si="2"/>
        <v>1718369</v>
      </c>
      <c r="I51" s="128">
        <f t="shared" si="3"/>
        <v>1718369</v>
      </c>
      <c r="J51" s="128">
        <f t="shared" si="4"/>
        <v>0</v>
      </c>
      <c r="K51" s="122">
        <f t="shared" si="5"/>
        <v>93787</v>
      </c>
      <c r="L51" s="122">
        <f t="shared" si="6"/>
        <v>403286</v>
      </c>
      <c r="M51" s="122">
        <f t="shared" si="7"/>
        <v>0</v>
      </c>
      <c r="N51" s="107"/>
      <c r="O51" s="122">
        <v>492753</v>
      </c>
      <c r="P51" s="128">
        <v>718468</v>
      </c>
      <c r="Q51" s="122">
        <v>1648368</v>
      </c>
      <c r="R51" s="107"/>
      <c r="S51" s="128">
        <v>-133904.57391276001</v>
      </c>
      <c r="T51" s="122">
        <v>-62280.528479280001</v>
      </c>
      <c r="U51" s="128">
        <v>-859954.34117988008</v>
      </c>
      <c r="V51" s="107"/>
      <c r="W51" s="128">
        <v>14309773</v>
      </c>
      <c r="X51" s="111"/>
      <c r="Y51" s="128">
        <v>3048784</v>
      </c>
      <c r="AA51" s="40"/>
    </row>
    <row r="52" spans="1:27" ht="20.100000000000001" customHeight="1" x14ac:dyDescent="0.25">
      <c r="A52" s="119">
        <v>146</v>
      </c>
      <c r="B52" s="63" t="s">
        <v>149</v>
      </c>
      <c r="C52" s="123">
        <f>'MFPRSI Supplemental Info 2018'!D52</f>
        <v>5.6002129191426789E-2</v>
      </c>
      <c r="D52" s="123">
        <v>5.5821449733041685E-2</v>
      </c>
      <c r="E52" s="128">
        <f>'MFPRSI Supplemental Info 2018'!W52</f>
        <v>33343863</v>
      </c>
      <c r="F52" s="128">
        <f t="shared" si="0"/>
        <v>33236286</v>
      </c>
      <c r="G52" s="128">
        <f t="shared" si="1"/>
        <v>-107577</v>
      </c>
      <c r="H52" s="128">
        <f t="shared" si="2"/>
        <v>4396833</v>
      </c>
      <c r="I52" s="128">
        <f t="shared" si="3"/>
        <v>4396833</v>
      </c>
      <c r="J52" s="128">
        <f t="shared" si="4"/>
        <v>0</v>
      </c>
      <c r="K52" s="122">
        <f t="shared" si="5"/>
        <v>-20298</v>
      </c>
      <c r="L52" s="122">
        <f t="shared" si="6"/>
        <v>0</v>
      </c>
      <c r="M52" s="122">
        <f t="shared" si="7"/>
        <v>-87279</v>
      </c>
      <c r="N52" s="107"/>
      <c r="O52" s="122">
        <v>1260820</v>
      </c>
      <c r="P52" s="128">
        <v>1838361</v>
      </c>
      <c r="Q52" s="122">
        <v>4217721</v>
      </c>
      <c r="R52" s="107"/>
      <c r="S52" s="128">
        <v>-342624.97077585</v>
      </c>
      <c r="T52" s="122">
        <v>-159358.74053129999</v>
      </c>
      <c r="U52" s="128">
        <v>-2200386.6067135502</v>
      </c>
      <c r="V52" s="107"/>
      <c r="W52" s="128">
        <v>36614772</v>
      </c>
      <c r="X52" s="111"/>
      <c r="Y52" s="128">
        <v>7801000</v>
      </c>
      <c r="AA52" s="40"/>
    </row>
    <row r="53" spans="1:27" ht="20.100000000000001" customHeight="1" x14ac:dyDescent="0.25">
      <c r="A53" s="119">
        <v>147</v>
      </c>
      <c r="B53" s="63" t="s">
        <v>150</v>
      </c>
      <c r="C53" s="123">
        <f>'MFPRSI Supplemental Info 2018'!D53</f>
        <v>3.6712297588542674E-3</v>
      </c>
      <c r="D53" s="123">
        <v>3.6548893020980828E-3</v>
      </c>
      <c r="E53" s="128">
        <f>'MFPRSI Supplemental Info 2018'!W53</f>
        <v>2185863</v>
      </c>
      <c r="F53" s="128">
        <f t="shared" si="0"/>
        <v>2176134</v>
      </c>
      <c r="G53" s="128">
        <f t="shared" si="1"/>
        <v>-9729</v>
      </c>
      <c r="H53" s="128">
        <f t="shared" si="2"/>
        <v>287881</v>
      </c>
      <c r="I53" s="128">
        <f t="shared" si="3"/>
        <v>287881</v>
      </c>
      <c r="J53" s="128">
        <f t="shared" si="4"/>
        <v>0</v>
      </c>
      <c r="K53" s="122">
        <f t="shared" si="5"/>
        <v>-1836</v>
      </c>
      <c r="L53" s="122">
        <f t="shared" si="6"/>
        <v>0</v>
      </c>
      <c r="M53" s="122">
        <f t="shared" si="7"/>
        <v>-7893</v>
      </c>
      <c r="N53" s="107"/>
      <c r="O53" s="122">
        <v>82552</v>
      </c>
      <c r="P53" s="128">
        <v>120366</v>
      </c>
      <c r="Q53" s="122">
        <v>276154</v>
      </c>
      <c r="R53" s="107"/>
      <c r="S53" s="128">
        <v>-22433.250648969999</v>
      </c>
      <c r="T53" s="122">
        <v>-10433.958042660001</v>
      </c>
      <c r="U53" s="128">
        <v>-144069.54683211001</v>
      </c>
      <c r="V53" s="107"/>
      <c r="W53" s="128">
        <v>2397339</v>
      </c>
      <c r="X53" s="111"/>
      <c r="Y53" s="128">
        <v>510768</v>
      </c>
      <c r="AA53" s="40"/>
    </row>
    <row r="54" spans="1:27" ht="20.100000000000001" customHeight="1" x14ac:dyDescent="0.25">
      <c r="A54" s="119">
        <v>148</v>
      </c>
      <c r="B54" s="63" t="s">
        <v>151</v>
      </c>
      <c r="C54" s="123">
        <f>'MFPRSI Supplemental Info 2018'!D54</f>
        <v>2.9253506874406328E-3</v>
      </c>
      <c r="D54" s="123">
        <v>2.8528605006088721E-3</v>
      </c>
      <c r="E54" s="128">
        <f>'MFPRSI Supplemental Info 2018'!W54</f>
        <v>1741764</v>
      </c>
      <c r="F54" s="128">
        <f t="shared" si="0"/>
        <v>1698603</v>
      </c>
      <c r="G54" s="128">
        <f t="shared" si="1"/>
        <v>-43161</v>
      </c>
      <c r="H54" s="128">
        <f t="shared" si="2"/>
        <v>224708</v>
      </c>
      <c r="I54" s="128">
        <f t="shared" si="3"/>
        <v>224708</v>
      </c>
      <c r="J54" s="128">
        <f t="shared" si="4"/>
        <v>0</v>
      </c>
      <c r="K54" s="122">
        <f t="shared" si="5"/>
        <v>-8144</v>
      </c>
      <c r="L54" s="122">
        <f t="shared" si="6"/>
        <v>0</v>
      </c>
      <c r="M54" s="122">
        <f t="shared" si="7"/>
        <v>-35017</v>
      </c>
      <c r="N54" s="107"/>
      <c r="O54" s="122">
        <v>64437</v>
      </c>
      <c r="P54" s="128">
        <v>93953</v>
      </c>
      <c r="Q54" s="122">
        <v>215555</v>
      </c>
      <c r="R54" s="107"/>
      <c r="S54" s="128">
        <v>-17510.492366779999</v>
      </c>
      <c r="T54" s="122">
        <v>-8144.3276108400005</v>
      </c>
      <c r="U54" s="128">
        <v>-112454.88848514001</v>
      </c>
      <c r="V54" s="107"/>
      <c r="W54" s="128">
        <v>1871267</v>
      </c>
      <c r="X54" s="111"/>
      <c r="Y54" s="128">
        <v>398685</v>
      </c>
      <c r="AA54" s="40"/>
    </row>
    <row r="55" spans="1:27" ht="19.5" customHeight="1" x14ac:dyDescent="0.25">
      <c r="A55" s="119">
        <v>149</v>
      </c>
      <c r="B55" s="63" t="s">
        <v>152</v>
      </c>
      <c r="C55" s="123">
        <f>'MFPRSI Supplemental Info 2018'!D55</f>
        <v>3.2890139926237953E-2</v>
      </c>
      <c r="D55" s="123">
        <v>3.489693066542026E-2</v>
      </c>
      <c r="E55" s="128">
        <f>'MFPRSI Supplemental Info 2018'!W55</f>
        <v>19582904</v>
      </c>
      <c r="F55" s="128">
        <f>ROUND($E$57*D55,0)</f>
        <v>20777754</v>
      </c>
      <c r="G55" s="128">
        <f t="shared" si="1"/>
        <v>1194850</v>
      </c>
      <c r="H55" s="128">
        <f t="shared" si="2"/>
        <v>2748692</v>
      </c>
      <c r="I55" s="128">
        <f t="shared" si="3"/>
        <v>2748692</v>
      </c>
      <c r="J55" s="128">
        <f t="shared" si="4"/>
        <v>0</v>
      </c>
      <c r="K55" s="122">
        <f t="shared" si="5"/>
        <v>225443</v>
      </c>
      <c r="L55" s="122">
        <f t="shared" si="6"/>
        <v>969407</v>
      </c>
      <c r="M55" s="122">
        <f t="shared" si="7"/>
        <v>0</v>
      </c>
      <c r="N55" s="107"/>
      <c r="O55" s="122">
        <v>788205</v>
      </c>
      <c r="P55" s="128">
        <v>1149256</v>
      </c>
      <c r="Q55" s="122">
        <v>2636720</v>
      </c>
      <c r="R55" s="107"/>
      <c r="S55" s="128">
        <v>-214192.92442989</v>
      </c>
      <c r="T55" s="122">
        <v>-99623.546382419998</v>
      </c>
      <c r="U55" s="128">
        <v>-1375577.62092207</v>
      </c>
      <c r="V55" s="107"/>
      <c r="W55" s="128">
        <v>22889824</v>
      </c>
      <c r="X55" s="111"/>
      <c r="Y55" s="128">
        <v>4876816</v>
      </c>
      <c r="AA55" s="40"/>
    </row>
    <row r="56" spans="1:27" x14ac:dyDescent="0.25">
      <c r="A56" s="106"/>
      <c r="B56" s="107"/>
      <c r="C56" s="110"/>
      <c r="D56" s="108"/>
      <c r="E56" s="112"/>
      <c r="F56" s="108"/>
      <c r="G56" s="108"/>
      <c r="H56" s="108"/>
      <c r="I56" s="108"/>
      <c r="J56" s="108"/>
      <c r="K56" s="107"/>
      <c r="L56" s="107"/>
      <c r="M56" s="107"/>
      <c r="N56" s="107"/>
      <c r="O56" s="107"/>
      <c r="P56" s="109"/>
      <c r="Q56" s="107"/>
      <c r="R56" s="107"/>
      <c r="S56" s="107"/>
      <c r="T56" s="107"/>
      <c r="U56" s="111"/>
      <c r="V56" s="107"/>
      <c r="W56" s="109"/>
      <c r="X56" s="109"/>
      <c r="Y56" s="111"/>
    </row>
    <row r="57" spans="1:27" x14ac:dyDescent="0.25">
      <c r="A57" s="106"/>
      <c r="B57" s="68"/>
      <c r="C57" s="131">
        <f t="shared" ref="C57:I57" si="8">SUM(C7:C56)</f>
        <v>1.0000000000000002</v>
      </c>
      <c r="D57" s="131">
        <f t="shared" si="8"/>
        <v>1.0000000000000002</v>
      </c>
      <c r="E57" s="128">
        <f>SUM(E7:E56)+E61</f>
        <v>595403487</v>
      </c>
      <c r="F57" s="128">
        <f>SUM(F7:F56)+F61</f>
        <v>595403487</v>
      </c>
      <c r="G57" s="128">
        <f>SUM(G7:G56)+G61</f>
        <v>0</v>
      </c>
      <c r="H57" s="128">
        <f>SUM(H7:H56)+H61</f>
        <v>78766020</v>
      </c>
      <c r="I57" s="132">
        <f t="shared" si="8"/>
        <v>78766020</v>
      </c>
      <c r="J57" s="121">
        <f>SUM(J7:J56)</f>
        <v>0</v>
      </c>
      <c r="K57" s="121"/>
      <c r="L57" s="128">
        <f t="shared" ref="L57" si="9">SUM(L7:L56)</f>
        <v>5492386</v>
      </c>
      <c r="M57" s="128">
        <f>SUM(M7:M56)</f>
        <v>-5492384</v>
      </c>
      <c r="N57" s="107"/>
      <c r="O57" s="128">
        <f>SUM(O7:O56)</f>
        <v>22586665</v>
      </c>
      <c r="P57" s="128">
        <f>SUM(P7:P56)</f>
        <v>32932879</v>
      </c>
      <c r="Q57" s="128">
        <f>SUM(Q7:Q56)</f>
        <v>75557353</v>
      </c>
      <c r="R57" s="107"/>
      <c r="S57" s="128">
        <f>SUM(S7:S56)+S61</f>
        <v>-6137873</v>
      </c>
      <c r="T57" s="128">
        <f>SUM(T7:T56)+T61</f>
        <v>-2854794</v>
      </c>
      <c r="U57" s="128">
        <f>SUM(U7:U56)+U61</f>
        <v>-39418299</v>
      </c>
      <c r="V57" s="111"/>
      <c r="W57" s="128">
        <f>SUM(W7:W56)+W61</f>
        <v>655926569</v>
      </c>
      <c r="X57" s="111"/>
      <c r="Y57" s="128">
        <f>SUM(Y7:Y56)+Y61</f>
        <v>139749153</v>
      </c>
    </row>
    <row r="58" spans="1:27" x14ac:dyDescent="0.25">
      <c r="A58" s="106"/>
      <c r="B58" s="68"/>
      <c r="C58" s="131"/>
      <c r="D58" s="131"/>
      <c r="E58" s="128"/>
      <c r="F58" s="128"/>
      <c r="G58" s="121"/>
      <c r="H58" s="132"/>
      <c r="I58" s="121"/>
      <c r="J58" s="121"/>
      <c r="K58" s="121"/>
      <c r="L58" s="128"/>
      <c r="M58" s="128"/>
      <c r="N58" s="107"/>
      <c r="O58" s="111"/>
      <c r="P58" s="111"/>
      <c r="Q58" s="111"/>
      <c r="R58" s="107"/>
      <c r="S58" s="111"/>
      <c r="T58" s="111"/>
      <c r="U58" s="111"/>
      <c r="V58" s="111"/>
      <c r="W58" s="111"/>
      <c r="X58" s="111"/>
      <c r="Y58" s="111"/>
    </row>
    <row r="59" spans="1:27" x14ac:dyDescent="0.25">
      <c r="A59" s="106"/>
      <c r="B59" s="68"/>
      <c r="C59" s="123"/>
      <c r="D59" s="121"/>
      <c r="E59" s="128"/>
      <c r="F59" s="128"/>
      <c r="G59" s="121"/>
      <c r="H59" s="121"/>
      <c r="I59" s="121"/>
      <c r="J59" s="121"/>
      <c r="K59" s="121"/>
      <c r="L59" s="128"/>
      <c r="M59" s="128"/>
      <c r="N59" s="107"/>
      <c r="O59" s="130" t="s">
        <v>60</v>
      </c>
      <c r="P59" s="68"/>
      <c r="Q59" s="131"/>
      <c r="R59" s="131"/>
      <c r="S59" s="132"/>
      <c r="T59" s="132"/>
      <c r="U59" s="121">
        <v>5.3</v>
      </c>
      <c r="V59" s="133" t="s">
        <v>61</v>
      </c>
      <c r="W59" s="128"/>
      <c r="X59" s="111"/>
      <c r="Y59" s="111"/>
    </row>
    <row r="60" spans="1:27" x14ac:dyDescent="0.25">
      <c r="A60" s="106"/>
      <c r="B60" s="68"/>
      <c r="C60" s="123"/>
      <c r="D60" s="121"/>
      <c r="E60" s="68"/>
      <c r="F60" s="68"/>
      <c r="G60" s="121"/>
      <c r="H60" s="121"/>
      <c r="I60" s="121"/>
      <c r="J60" s="121"/>
      <c r="K60" s="68"/>
      <c r="L60" s="68"/>
      <c r="M60" s="68"/>
      <c r="N60" s="107"/>
      <c r="O60" s="130" t="s">
        <v>196</v>
      </c>
      <c r="P60" s="122"/>
      <c r="Q60" s="68"/>
      <c r="R60" s="68"/>
      <c r="S60" s="68"/>
      <c r="T60" s="68"/>
      <c r="U60" s="134">
        <v>78766019</v>
      </c>
      <c r="V60" s="107"/>
      <c r="W60" s="107"/>
      <c r="X60" s="107"/>
      <c r="Y60" s="107"/>
    </row>
    <row r="61" spans="1:27" x14ac:dyDescent="0.25">
      <c r="A61" s="106"/>
      <c r="B61" s="68" t="s">
        <v>153</v>
      </c>
      <c r="C61" s="123"/>
      <c r="D61" s="121"/>
      <c r="E61" s="68">
        <v>0</v>
      </c>
      <c r="F61" s="68">
        <v>1</v>
      </c>
      <c r="G61" s="121">
        <v>1</v>
      </c>
      <c r="H61" s="121">
        <v>0</v>
      </c>
      <c r="I61" s="121"/>
      <c r="J61" s="121"/>
      <c r="K61" s="68">
        <v>3</v>
      </c>
      <c r="L61" s="68"/>
      <c r="M61" s="68"/>
      <c r="N61" s="107"/>
      <c r="O61" s="107"/>
      <c r="P61" s="109"/>
      <c r="Q61" s="107"/>
      <c r="R61" s="107"/>
      <c r="S61" s="107">
        <v>0</v>
      </c>
      <c r="T61" s="107">
        <v>0</v>
      </c>
      <c r="U61" s="111">
        <v>0</v>
      </c>
      <c r="V61" s="107"/>
      <c r="W61" s="107">
        <v>0</v>
      </c>
      <c r="X61" s="107"/>
      <c r="Y61" s="107">
        <v>0</v>
      </c>
    </row>
  </sheetData>
  <mergeCells count="3">
    <mergeCell ref="K3:M3"/>
    <mergeCell ref="O3:Q3"/>
    <mergeCell ref="S3:U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432C1-4758-4971-ADF0-4AAD07FF955D}">
  <dimension ref="A1:AA61"/>
  <sheetViews>
    <sheetView workbookViewId="0">
      <pane xSplit="2" ySplit="6" topLeftCell="C37" activePane="bottomRight" state="frozen"/>
      <selection pane="topRight" activeCell="C1" sqref="C1"/>
      <selection pane="bottomLeft" activeCell="A7" sqref="A7"/>
      <selection pane="bottomRight" activeCell="Y22" sqref="Y22"/>
    </sheetView>
  </sheetViews>
  <sheetFormatPr defaultRowHeight="15" x14ac:dyDescent="0.25"/>
  <cols>
    <col min="1" max="1" width="3.5703125" style="46" bestFit="1" customWidth="1"/>
    <col min="2" max="2" width="15" style="50" bestFit="1" customWidth="1"/>
    <col min="3" max="3" width="10.7109375" style="85" bestFit="1" customWidth="1"/>
    <col min="4" max="4" width="10.7109375" style="90" bestFit="1" customWidth="1"/>
    <col min="5" max="5" width="11.140625" style="90" bestFit="1" customWidth="1"/>
    <col min="6" max="6" width="10.7109375" style="90" bestFit="1" customWidth="1"/>
    <col min="7" max="7" width="9.7109375" style="90" bestFit="1" customWidth="1"/>
    <col min="8" max="9" width="9.85546875" style="90" bestFit="1" customWidth="1"/>
    <col min="10" max="10" width="11.140625" style="90" customWidth="1"/>
    <col min="11" max="11" width="8.7109375" style="50" bestFit="1" customWidth="1"/>
    <col min="12" max="12" width="9.28515625" style="50" bestFit="1" customWidth="1"/>
    <col min="13" max="13" width="9.7109375" style="50" bestFit="1" customWidth="1"/>
    <col min="14" max="14" width="0.85546875" style="50" customWidth="1"/>
    <col min="15" max="15" width="10.7109375" style="50" bestFit="1" customWidth="1"/>
    <col min="16" max="16" width="12.42578125" style="51" bestFit="1" customWidth="1"/>
    <col min="17" max="17" width="10.7109375" style="50" customWidth="1"/>
    <col min="18" max="18" width="2.28515625" style="50" customWidth="1"/>
    <col min="19" max="19" width="10.7109375" style="50" bestFit="1" customWidth="1"/>
    <col min="20" max="20" width="11.7109375" style="50" customWidth="1"/>
    <col min="21" max="21" width="12.7109375" style="50" bestFit="1" customWidth="1"/>
    <col min="22" max="22" width="2.28515625" style="50" customWidth="1"/>
    <col min="23" max="23" width="12.7109375" style="50" bestFit="1" customWidth="1"/>
    <col min="24" max="24" width="2.28515625" style="50" customWidth="1"/>
    <col min="25" max="25" width="11.140625" style="50" bestFit="1" customWidth="1"/>
    <col min="27" max="27" width="11.28515625" bestFit="1" customWidth="1"/>
  </cols>
  <sheetData>
    <row r="1" spans="1:27" x14ac:dyDescent="0.25">
      <c r="C1" s="47" t="s">
        <v>157</v>
      </c>
      <c r="O1" s="47" t="s">
        <v>158</v>
      </c>
    </row>
    <row r="3" spans="1:27" x14ac:dyDescent="0.25">
      <c r="H3" s="91" t="s">
        <v>78</v>
      </c>
      <c r="K3" s="170" t="s">
        <v>79</v>
      </c>
      <c r="L3" s="170"/>
      <c r="M3" s="170"/>
      <c r="O3" s="171" t="s">
        <v>27</v>
      </c>
      <c r="P3" s="171"/>
      <c r="Q3" s="171"/>
      <c r="S3" s="171" t="s">
        <v>30</v>
      </c>
      <c r="T3" s="171"/>
      <c r="U3" s="171"/>
    </row>
    <row r="4" spans="1:27" x14ac:dyDescent="0.25">
      <c r="C4" s="86">
        <v>42916</v>
      </c>
      <c r="D4" s="86">
        <v>43281</v>
      </c>
      <c r="E4" s="86">
        <v>42916</v>
      </c>
      <c r="G4" s="91" t="s">
        <v>80</v>
      </c>
      <c r="H4" s="91" t="s">
        <v>49</v>
      </c>
      <c r="I4" s="91" t="s">
        <v>49</v>
      </c>
      <c r="J4" s="91" t="s">
        <v>81</v>
      </c>
      <c r="O4" s="91" t="s">
        <v>82</v>
      </c>
      <c r="Q4" s="91" t="s">
        <v>83</v>
      </c>
      <c r="R4" s="91"/>
      <c r="S4" s="91" t="s">
        <v>82</v>
      </c>
      <c r="U4" s="91" t="s">
        <v>83</v>
      </c>
      <c r="V4" s="91"/>
      <c r="W4" s="91" t="s">
        <v>159</v>
      </c>
      <c r="X4" s="91"/>
      <c r="Y4" s="46" t="s">
        <v>84</v>
      </c>
    </row>
    <row r="5" spans="1:27" x14ac:dyDescent="0.25">
      <c r="A5" s="46" t="s">
        <v>154</v>
      </c>
      <c r="C5" s="87" t="s">
        <v>85</v>
      </c>
      <c r="D5" s="87" t="s">
        <v>85</v>
      </c>
      <c r="E5" s="91" t="s">
        <v>86</v>
      </c>
      <c r="F5" s="91" t="s">
        <v>87</v>
      </c>
      <c r="G5" s="91" t="s">
        <v>85</v>
      </c>
      <c r="H5" s="91" t="s">
        <v>88</v>
      </c>
      <c r="I5" s="91" t="s">
        <v>88</v>
      </c>
      <c r="J5" s="91" t="s">
        <v>89</v>
      </c>
      <c r="K5" s="91" t="s">
        <v>90</v>
      </c>
      <c r="L5" s="46" t="s">
        <v>91</v>
      </c>
      <c r="M5" s="46" t="s">
        <v>91</v>
      </c>
      <c r="O5" s="46" t="s">
        <v>92</v>
      </c>
      <c r="P5" s="97" t="s">
        <v>160</v>
      </c>
      <c r="Q5" s="46" t="s">
        <v>92</v>
      </c>
      <c r="R5" s="46"/>
      <c r="S5" s="46" t="s">
        <v>92</v>
      </c>
      <c r="T5" s="91" t="s">
        <v>160</v>
      </c>
      <c r="U5" s="46" t="s">
        <v>92</v>
      </c>
      <c r="V5" s="46"/>
      <c r="W5" s="91" t="s">
        <v>87</v>
      </c>
      <c r="X5" s="91"/>
      <c r="Y5" s="46" t="s">
        <v>90</v>
      </c>
    </row>
    <row r="6" spans="1:27" ht="20.100000000000001" customHeight="1" x14ac:dyDescent="0.35">
      <c r="A6" s="53" t="s">
        <v>155</v>
      </c>
      <c r="B6" s="57" t="s">
        <v>93</v>
      </c>
      <c r="C6" s="88" t="s">
        <v>94</v>
      </c>
      <c r="D6" s="88" t="s">
        <v>94</v>
      </c>
      <c r="E6" s="92" t="s">
        <v>95</v>
      </c>
      <c r="F6" s="95">
        <v>42916</v>
      </c>
      <c r="G6" s="92" t="s">
        <v>96</v>
      </c>
      <c r="H6" s="92" t="s">
        <v>97</v>
      </c>
      <c r="I6" s="92" t="s">
        <v>97</v>
      </c>
      <c r="J6" s="92" t="s">
        <v>98</v>
      </c>
      <c r="K6" s="92" t="s">
        <v>56</v>
      </c>
      <c r="L6" s="92" t="s">
        <v>99</v>
      </c>
      <c r="M6" s="96" t="s">
        <v>100</v>
      </c>
      <c r="O6" s="96" t="s">
        <v>101</v>
      </c>
      <c r="P6" s="98" t="s">
        <v>102</v>
      </c>
      <c r="Q6" s="96" t="s">
        <v>103</v>
      </c>
      <c r="R6" s="96"/>
      <c r="S6" s="96" t="s">
        <v>101</v>
      </c>
      <c r="T6" s="96" t="s">
        <v>102</v>
      </c>
      <c r="U6" s="96" t="s">
        <v>103</v>
      </c>
      <c r="V6" s="96"/>
      <c r="W6" s="95">
        <v>43281</v>
      </c>
      <c r="X6" s="95"/>
      <c r="Y6" s="96" t="s">
        <v>56</v>
      </c>
    </row>
    <row r="7" spans="1:27" ht="20.100000000000001" customHeight="1" x14ac:dyDescent="0.25">
      <c r="A7" s="46">
        <v>101</v>
      </c>
      <c r="B7" s="63" t="s">
        <v>104</v>
      </c>
      <c r="C7" s="85">
        <f>'MFPRSI Supplemental Info 2017'!D7</f>
        <v>2.6513100000000001E-2</v>
      </c>
      <c r="D7" s="85">
        <v>2.7197689220117047E-2</v>
      </c>
      <c r="E7" s="93">
        <f>'MFPRSI Supplemental Info 2017'!W7</f>
        <v>15549272</v>
      </c>
      <c r="F7" s="93">
        <f>ROUND($E$57*D7,0)</f>
        <v>15950766</v>
      </c>
      <c r="G7" s="93">
        <f>F7-E7</f>
        <v>401494</v>
      </c>
      <c r="H7" s="93">
        <f>ROUND(D7*$U$60,0)</f>
        <v>2030080</v>
      </c>
      <c r="I7" s="93">
        <f>H7</f>
        <v>2030080</v>
      </c>
      <c r="J7" s="93">
        <f>H7-I7</f>
        <v>0</v>
      </c>
      <c r="K7" s="51">
        <f>ROUND((G7+J7)/$U$59,0)</f>
        <v>74351</v>
      </c>
      <c r="L7" s="66">
        <f>IF(K7&lt;0,0,G7+J7-K7)</f>
        <v>327143</v>
      </c>
      <c r="M7" s="51">
        <f>IF(G7&lt;0,(G7+J7-K7),0)</f>
        <v>0</v>
      </c>
      <c r="O7" s="51">
        <v>434719</v>
      </c>
      <c r="P7" s="93">
        <v>1383098</v>
      </c>
      <c r="Q7" s="51">
        <v>2392043</v>
      </c>
      <c r="S7" s="93">
        <v>-219674</v>
      </c>
      <c r="T7" s="51">
        <v>-129406</v>
      </c>
      <c r="U7" s="93">
        <v>-1599945</v>
      </c>
      <c r="W7" s="93">
        <v>16193599</v>
      </c>
      <c r="X7" s="93"/>
      <c r="Y7" s="93">
        <v>2442353</v>
      </c>
      <c r="AA7" s="40"/>
    </row>
    <row r="8" spans="1:27" ht="20.100000000000001" customHeight="1" x14ac:dyDescent="0.25">
      <c r="A8" s="46">
        <v>102</v>
      </c>
      <c r="B8" s="63" t="s">
        <v>105</v>
      </c>
      <c r="C8" s="85">
        <f>'MFPRSI Supplemental Info 2017'!D8</f>
        <v>1.9639009999999998E-2</v>
      </c>
      <c r="D8" s="85">
        <v>1.9680519607034146E-2</v>
      </c>
      <c r="E8" s="93">
        <f>'MFPRSI Supplemental Info 2017'!W8</f>
        <v>11517790</v>
      </c>
      <c r="F8" s="93">
        <f t="shared" ref="F8:F54" si="0">ROUND($E$57*D8,0)</f>
        <v>11542134</v>
      </c>
      <c r="G8" s="93">
        <f t="shared" ref="G8:G55" si="1">F8-E8</f>
        <v>24344</v>
      </c>
      <c r="H8" s="93">
        <f t="shared" ref="H8:H55" si="2">ROUND(D8*$U$60,0)</f>
        <v>1468986</v>
      </c>
      <c r="I8" s="93">
        <f t="shared" ref="I8:I55" si="3">H8</f>
        <v>1468986</v>
      </c>
      <c r="J8" s="93">
        <f t="shared" ref="J8:J55" si="4">H8-I8</f>
        <v>0</v>
      </c>
      <c r="K8" s="51">
        <f t="shared" ref="K8:K55" si="5">ROUND((G8+J8)/$U$59,0)</f>
        <v>4508</v>
      </c>
      <c r="L8" s="51">
        <f t="shared" ref="L8:L55" si="6">IF(K8&lt;0,0,G8+J8-K8)</f>
        <v>19836</v>
      </c>
      <c r="M8" s="51">
        <f t="shared" ref="M8:M55" si="7">IF(G8&lt;0,(G8+J8-K8),0)</f>
        <v>0</v>
      </c>
      <c r="O8" s="51">
        <v>314567</v>
      </c>
      <c r="P8" s="93">
        <v>1000824</v>
      </c>
      <c r="Q8" s="51">
        <v>1730906</v>
      </c>
      <c r="S8" s="93">
        <v>-158958</v>
      </c>
      <c r="T8" s="51">
        <v>-93640</v>
      </c>
      <c r="U8" s="93">
        <v>-1157736</v>
      </c>
      <c r="W8" s="93">
        <v>11717850</v>
      </c>
      <c r="X8" s="93"/>
      <c r="Y8" s="93">
        <v>1767311</v>
      </c>
      <c r="AA8" s="40"/>
    </row>
    <row r="9" spans="1:27" ht="20.100000000000001" customHeight="1" x14ac:dyDescent="0.25">
      <c r="A9" s="46">
        <v>103</v>
      </c>
      <c r="B9" s="63" t="s">
        <v>106</v>
      </c>
      <c r="C9" s="85">
        <f>'MFPRSI Supplemental Info 2017'!D9</f>
        <v>1.896859E-2</v>
      </c>
      <c r="D9" s="85">
        <v>1.9618539788632445E-2</v>
      </c>
      <c r="E9" s="93">
        <f>'MFPRSI Supplemental Info 2017'!W9</f>
        <v>11124605</v>
      </c>
      <c r="F9" s="93">
        <f t="shared" si="0"/>
        <v>11505784</v>
      </c>
      <c r="G9" s="93">
        <f t="shared" si="1"/>
        <v>381179</v>
      </c>
      <c r="H9" s="93">
        <f t="shared" si="2"/>
        <v>1464360</v>
      </c>
      <c r="I9" s="93">
        <f t="shared" si="3"/>
        <v>1464360</v>
      </c>
      <c r="J9" s="93">
        <f t="shared" si="4"/>
        <v>0</v>
      </c>
      <c r="K9" s="51">
        <f t="shared" si="5"/>
        <v>70589</v>
      </c>
      <c r="L9" s="51">
        <f t="shared" si="6"/>
        <v>310590</v>
      </c>
      <c r="M9" s="51">
        <f t="shared" si="7"/>
        <v>0</v>
      </c>
      <c r="O9" s="51">
        <v>313577</v>
      </c>
      <c r="P9" s="93">
        <v>997672</v>
      </c>
      <c r="Q9" s="51">
        <v>1725455</v>
      </c>
      <c r="S9" s="93">
        <v>-158458</v>
      </c>
      <c r="T9" s="51">
        <v>-93345</v>
      </c>
      <c r="U9" s="93">
        <v>-1154090</v>
      </c>
      <c r="W9" s="93">
        <v>11680947</v>
      </c>
      <c r="X9" s="93"/>
      <c r="Y9" s="93">
        <v>1761745</v>
      </c>
      <c r="AA9" s="40"/>
    </row>
    <row r="10" spans="1:27" ht="20.100000000000001" customHeight="1" x14ac:dyDescent="0.25">
      <c r="A10" s="46">
        <v>104</v>
      </c>
      <c r="B10" s="63" t="s">
        <v>107</v>
      </c>
      <c r="C10" s="85">
        <f>'MFPRSI Supplemental Info 2017'!D10</f>
        <v>5.7559500000000001E-3</v>
      </c>
      <c r="D10" s="85">
        <v>5.5585499115493086E-3</v>
      </c>
      <c r="E10" s="93">
        <f>'MFPRSI Supplemental Info 2017'!W10</f>
        <v>3375721</v>
      </c>
      <c r="F10" s="93">
        <f t="shared" si="0"/>
        <v>3259951</v>
      </c>
      <c r="G10" s="93">
        <f t="shared" si="1"/>
        <v>-115770</v>
      </c>
      <c r="H10" s="93">
        <f t="shared" si="2"/>
        <v>414899</v>
      </c>
      <c r="I10" s="93">
        <f t="shared" si="3"/>
        <v>414899</v>
      </c>
      <c r="J10" s="93">
        <f t="shared" si="4"/>
        <v>0</v>
      </c>
      <c r="K10" s="51">
        <f t="shared" si="5"/>
        <v>-21439</v>
      </c>
      <c r="L10" s="51">
        <f t="shared" si="6"/>
        <v>0</v>
      </c>
      <c r="M10" s="51">
        <f t="shared" si="7"/>
        <v>-94331</v>
      </c>
      <c r="O10" s="51">
        <v>88846</v>
      </c>
      <c r="P10" s="93">
        <v>282672</v>
      </c>
      <c r="Q10" s="51">
        <v>488876</v>
      </c>
      <c r="S10" s="93">
        <v>-44896</v>
      </c>
      <c r="T10" s="51">
        <v>-26448</v>
      </c>
      <c r="U10" s="93">
        <v>-326990</v>
      </c>
      <c r="W10" s="93">
        <v>3309580</v>
      </c>
      <c r="X10" s="93"/>
      <c r="Y10" s="93">
        <v>499158</v>
      </c>
      <c r="AA10" s="40"/>
    </row>
    <row r="11" spans="1:27" ht="20.100000000000001" customHeight="1" x14ac:dyDescent="0.25">
      <c r="A11" s="46">
        <v>105</v>
      </c>
      <c r="B11" s="63" t="s">
        <v>108</v>
      </c>
      <c r="C11" s="85">
        <f>'MFPRSI Supplemental Info 2017'!D11</f>
        <v>1.844703E-2</v>
      </c>
      <c r="D11" s="85">
        <v>1.8807970132025779E-2</v>
      </c>
      <c r="E11" s="93">
        <f>'MFPRSI Supplemental Info 2017'!W11</f>
        <v>10818723</v>
      </c>
      <c r="F11" s="93">
        <f t="shared" si="0"/>
        <v>11030405</v>
      </c>
      <c r="G11" s="93">
        <f t="shared" si="1"/>
        <v>211682</v>
      </c>
      <c r="H11" s="93">
        <f t="shared" si="2"/>
        <v>1403858</v>
      </c>
      <c r="I11" s="93">
        <f t="shared" si="3"/>
        <v>1403858</v>
      </c>
      <c r="J11" s="93">
        <f t="shared" si="4"/>
        <v>0</v>
      </c>
      <c r="K11" s="51">
        <f t="shared" si="5"/>
        <v>39200</v>
      </c>
      <c r="L11" s="51">
        <f t="shared" si="6"/>
        <v>172482</v>
      </c>
      <c r="M11" s="51">
        <f t="shared" si="7"/>
        <v>0</v>
      </c>
      <c r="O11" s="51">
        <v>300621</v>
      </c>
      <c r="P11" s="93">
        <v>956452</v>
      </c>
      <c r="Q11" s="51">
        <v>1654165</v>
      </c>
      <c r="S11" s="93">
        <v>-151911</v>
      </c>
      <c r="T11" s="51">
        <v>-89488</v>
      </c>
      <c r="U11" s="93">
        <v>-1106407</v>
      </c>
      <c r="W11" s="93">
        <v>11198331</v>
      </c>
      <c r="X11" s="93"/>
      <c r="Y11" s="93">
        <v>1688956</v>
      </c>
      <c r="AA11" s="40"/>
    </row>
    <row r="12" spans="1:27" ht="20.100000000000001" customHeight="1" x14ac:dyDescent="0.25">
      <c r="A12" s="46">
        <v>106</v>
      </c>
      <c r="B12" s="63" t="s">
        <v>109</v>
      </c>
      <c r="C12" s="85">
        <f>'MFPRSI Supplemental Info 2017'!D12</f>
        <v>2.1197799999999999E-3</v>
      </c>
      <c r="D12" s="85">
        <v>2.1358894056997687E-3</v>
      </c>
      <c r="E12" s="93">
        <f>'MFPRSI Supplemental Info 2017'!W12</f>
        <v>1243198</v>
      </c>
      <c r="F12" s="93">
        <f t="shared" si="0"/>
        <v>1252646</v>
      </c>
      <c r="G12" s="93">
        <f t="shared" si="1"/>
        <v>9448</v>
      </c>
      <c r="H12" s="93">
        <f t="shared" si="2"/>
        <v>159426</v>
      </c>
      <c r="I12" s="93">
        <f t="shared" si="3"/>
        <v>159426</v>
      </c>
      <c r="J12" s="93">
        <f t="shared" si="4"/>
        <v>0</v>
      </c>
      <c r="K12" s="51">
        <f t="shared" si="5"/>
        <v>1750</v>
      </c>
      <c r="L12" s="51">
        <f t="shared" si="6"/>
        <v>7698</v>
      </c>
      <c r="M12" s="51">
        <f t="shared" si="7"/>
        <v>0</v>
      </c>
      <c r="O12" s="51">
        <v>34139</v>
      </c>
      <c r="P12" s="93">
        <v>108618</v>
      </c>
      <c r="Q12" s="51">
        <v>187852</v>
      </c>
      <c r="S12" s="93">
        <v>-17251</v>
      </c>
      <c r="T12" s="51">
        <v>-10163</v>
      </c>
      <c r="U12" s="93">
        <v>-125647</v>
      </c>
      <c r="W12" s="93">
        <v>1271716</v>
      </c>
      <c r="X12" s="93"/>
      <c r="Y12" s="93">
        <v>191803</v>
      </c>
      <c r="AA12" s="40"/>
    </row>
    <row r="13" spans="1:27" ht="20.100000000000001" customHeight="1" x14ac:dyDescent="0.25">
      <c r="A13" s="46">
        <v>107</v>
      </c>
      <c r="B13" s="63" t="s">
        <v>110</v>
      </c>
      <c r="C13" s="85">
        <f>'MFPRSI Supplemental Info 2017'!D13</f>
        <v>3.0369799999999999E-3</v>
      </c>
      <c r="D13" s="85">
        <v>2.9460207041078347E-3</v>
      </c>
      <c r="E13" s="93">
        <f>'MFPRSI Supplemental Info 2017'!W13</f>
        <v>1781113</v>
      </c>
      <c r="F13" s="93">
        <f t="shared" si="0"/>
        <v>1727768</v>
      </c>
      <c r="G13" s="93">
        <f t="shared" si="1"/>
        <v>-53345</v>
      </c>
      <c r="H13" s="93">
        <f t="shared" si="2"/>
        <v>219896</v>
      </c>
      <c r="I13" s="93">
        <f t="shared" si="3"/>
        <v>219896</v>
      </c>
      <c r="J13" s="93">
        <f t="shared" si="4"/>
        <v>0</v>
      </c>
      <c r="K13" s="51">
        <f t="shared" si="5"/>
        <v>-9879</v>
      </c>
      <c r="L13" s="51">
        <f t="shared" si="6"/>
        <v>0</v>
      </c>
      <c r="M13" s="51">
        <f t="shared" si="7"/>
        <v>-43466</v>
      </c>
      <c r="O13" s="51">
        <v>47088</v>
      </c>
      <c r="P13" s="93">
        <v>149815</v>
      </c>
      <c r="Q13" s="51">
        <v>259103</v>
      </c>
      <c r="S13" s="93">
        <v>-23795</v>
      </c>
      <c r="T13" s="51">
        <v>-14017</v>
      </c>
      <c r="U13" s="93">
        <v>-173304</v>
      </c>
      <c r="W13" s="93">
        <v>1754071</v>
      </c>
      <c r="X13" s="93"/>
      <c r="Y13" s="93">
        <v>264553</v>
      </c>
      <c r="AA13" s="40"/>
    </row>
    <row r="14" spans="1:27" ht="20.100000000000001" customHeight="1" x14ac:dyDescent="0.25">
      <c r="A14" s="46">
        <v>108</v>
      </c>
      <c r="B14" s="63" t="s">
        <v>111</v>
      </c>
      <c r="C14" s="85">
        <f>'MFPRSI Supplemental Info 2017'!D14</f>
        <v>1.671545E-2</v>
      </c>
      <c r="D14" s="85">
        <v>1.7781800461642242E-2</v>
      </c>
      <c r="E14" s="93">
        <f>'MFPRSI Supplemental Info 2017'!W14</f>
        <v>9803195</v>
      </c>
      <c r="F14" s="93">
        <f t="shared" si="0"/>
        <v>10428582</v>
      </c>
      <c r="G14" s="93">
        <f t="shared" si="1"/>
        <v>625387</v>
      </c>
      <c r="H14" s="93">
        <f t="shared" si="2"/>
        <v>1327263</v>
      </c>
      <c r="I14" s="93">
        <f t="shared" si="3"/>
        <v>1327263</v>
      </c>
      <c r="J14" s="93">
        <f t="shared" si="4"/>
        <v>0</v>
      </c>
      <c r="K14" s="51">
        <f t="shared" si="5"/>
        <v>115812</v>
      </c>
      <c r="L14" s="51">
        <f t="shared" si="6"/>
        <v>509575</v>
      </c>
      <c r="M14" s="51">
        <f t="shared" si="7"/>
        <v>0</v>
      </c>
      <c r="O14" s="51">
        <v>284219</v>
      </c>
      <c r="P14" s="93">
        <v>904267</v>
      </c>
      <c r="Q14" s="51">
        <v>1563913</v>
      </c>
      <c r="S14" s="93">
        <v>-143623</v>
      </c>
      <c r="T14" s="51">
        <v>-84606</v>
      </c>
      <c r="U14" s="93">
        <v>-1046041</v>
      </c>
      <c r="W14" s="93">
        <v>10587346</v>
      </c>
      <c r="X14" s="93"/>
      <c r="Y14" s="93">
        <v>1596806</v>
      </c>
      <c r="AA14" s="40"/>
    </row>
    <row r="15" spans="1:27" ht="20.100000000000001" customHeight="1" x14ac:dyDescent="0.25">
      <c r="A15" s="46">
        <v>109</v>
      </c>
      <c r="B15" s="63" t="s">
        <v>112</v>
      </c>
      <c r="C15" s="85">
        <f>'MFPRSI Supplemental Info 2017'!D15</f>
        <v>9.6577670000000004E-2</v>
      </c>
      <c r="D15" s="85">
        <v>9.1879720549906688E-2</v>
      </c>
      <c r="E15" s="93">
        <f>'MFPRSI Supplemental Info 2017'!W15</f>
        <v>56640395</v>
      </c>
      <c r="F15" s="93">
        <f t="shared" si="0"/>
        <v>53885165</v>
      </c>
      <c r="G15" s="93">
        <f t="shared" si="1"/>
        <v>-2755230</v>
      </c>
      <c r="H15" s="93">
        <f t="shared" si="2"/>
        <v>6858053</v>
      </c>
      <c r="I15" s="93">
        <f t="shared" si="3"/>
        <v>6858053</v>
      </c>
      <c r="J15" s="93">
        <f t="shared" si="4"/>
        <v>0</v>
      </c>
      <c r="K15" s="51">
        <f t="shared" si="5"/>
        <v>-510228</v>
      </c>
      <c r="L15" s="51">
        <f t="shared" si="6"/>
        <v>0</v>
      </c>
      <c r="M15" s="51">
        <f t="shared" si="7"/>
        <v>-2245002</v>
      </c>
      <c r="O15" s="51">
        <v>1468576</v>
      </c>
      <c r="P15" s="93">
        <v>4672407</v>
      </c>
      <c r="Q15" s="51">
        <v>8080841</v>
      </c>
      <c r="S15" s="93">
        <v>-742108</v>
      </c>
      <c r="T15" s="51">
        <v>-437163</v>
      </c>
      <c r="U15" s="93">
        <v>-5404963</v>
      </c>
      <c r="W15" s="93">
        <v>54705506</v>
      </c>
      <c r="X15" s="93"/>
      <c r="Y15" s="93">
        <v>8250800</v>
      </c>
      <c r="AA15" s="40"/>
    </row>
    <row r="16" spans="1:27" ht="20.100000000000001" customHeight="1" x14ac:dyDescent="0.25">
      <c r="A16" s="46">
        <v>110</v>
      </c>
      <c r="B16" s="63" t="s">
        <v>113</v>
      </c>
      <c r="C16" s="85">
        <f>'MFPRSI Supplemental Info 2017'!D16</f>
        <v>2.4296299999999999E-3</v>
      </c>
      <c r="D16" s="85">
        <v>2.469570689632189E-3</v>
      </c>
      <c r="E16" s="93">
        <f>'MFPRSI Supplemental Info 2017'!W16</f>
        <v>1424917</v>
      </c>
      <c r="F16" s="93">
        <f t="shared" si="0"/>
        <v>1448342</v>
      </c>
      <c r="G16" s="93">
        <f t="shared" si="1"/>
        <v>23425</v>
      </c>
      <c r="H16" s="93">
        <f t="shared" si="2"/>
        <v>184333</v>
      </c>
      <c r="I16" s="93">
        <f t="shared" si="3"/>
        <v>184333</v>
      </c>
      <c r="J16" s="93">
        <f t="shared" si="4"/>
        <v>0</v>
      </c>
      <c r="K16" s="51">
        <f t="shared" si="5"/>
        <v>4338</v>
      </c>
      <c r="L16" s="51">
        <f t="shared" si="6"/>
        <v>19087</v>
      </c>
      <c r="M16" s="51">
        <f t="shared" si="7"/>
        <v>0</v>
      </c>
      <c r="O16" s="51">
        <v>39473</v>
      </c>
      <c r="P16" s="93">
        <v>125586</v>
      </c>
      <c r="Q16" s="51">
        <v>217199</v>
      </c>
      <c r="S16" s="93">
        <v>-19947</v>
      </c>
      <c r="T16" s="51">
        <v>-11750</v>
      </c>
      <c r="U16" s="93">
        <v>-145276</v>
      </c>
      <c r="W16" s="93">
        <v>1470391</v>
      </c>
      <c r="X16" s="93"/>
      <c r="Y16" s="93">
        <v>221767</v>
      </c>
      <c r="AA16" s="40"/>
    </row>
    <row r="17" spans="1:27" ht="20.100000000000001" customHeight="1" x14ac:dyDescent="0.25">
      <c r="A17" s="46">
        <v>111</v>
      </c>
      <c r="B17" s="63" t="s">
        <v>114</v>
      </c>
      <c r="C17" s="85">
        <f>'MFPRSI Supplemental Info 2017'!D17</f>
        <v>3.2138399999999999E-3</v>
      </c>
      <c r="D17" s="85">
        <v>3.2486205442730301E-3</v>
      </c>
      <c r="E17" s="93">
        <f>'MFPRSI Supplemental Info 2017'!W17</f>
        <v>1884837</v>
      </c>
      <c r="F17" s="93">
        <f t="shared" si="0"/>
        <v>1905235</v>
      </c>
      <c r="G17" s="93">
        <f t="shared" si="1"/>
        <v>20398</v>
      </c>
      <c r="H17" s="93">
        <f t="shared" si="2"/>
        <v>242482</v>
      </c>
      <c r="I17" s="93">
        <f t="shared" si="3"/>
        <v>242482</v>
      </c>
      <c r="J17" s="93">
        <f t="shared" si="4"/>
        <v>0</v>
      </c>
      <c r="K17" s="51">
        <f t="shared" si="5"/>
        <v>3777</v>
      </c>
      <c r="L17" s="51">
        <f t="shared" si="6"/>
        <v>16621</v>
      </c>
      <c r="M17" s="51">
        <f t="shared" si="7"/>
        <v>0</v>
      </c>
      <c r="O17" s="51">
        <v>51925</v>
      </c>
      <c r="P17" s="93">
        <v>165204</v>
      </c>
      <c r="Q17" s="51">
        <v>285717</v>
      </c>
      <c r="S17" s="93">
        <v>-26239</v>
      </c>
      <c r="T17" s="51">
        <v>-15457</v>
      </c>
      <c r="U17" s="93">
        <v>-191105</v>
      </c>
      <c r="W17" s="93">
        <v>1934240</v>
      </c>
      <c r="X17" s="93"/>
      <c r="Y17" s="93">
        <v>291726</v>
      </c>
      <c r="AA17" s="40"/>
    </row>
    <row r="18" spans="1:27" ht="20.100000000000001" customHeight="1" x14ac:dyDescent="0.25">
      <c r="A18" s="46">
        <v>112</v>
      </c>
      <c r="B18" s="63" t="s">
        <v>115</v>
      </c>
      <c r="C18" s="85">
        <f>'MFPRSI Supplemental Info 2017'!D18</f>
        <v>1.8612099999999999E-2</v>
      </c>
      <c r="D18" s="85">
        <v>1.8626619161872662E-2</v>
      </c>
      <c r="E18" s="93">
        <f>'MFPRSI Supplemental Info 2017'!W18</f>
        <v>10915532</v>
      </c>
      <c r="F18" s="93">
        <f t="shared" si="0"/>
        <v>10924048</v>
      </c>
      <c r="G18" s="93">
        <f t="shared" si="1"/>
        <v>8516</v>
      </c>
      <c r="H18" s="93">
        <f t="shared" si="2"/>
        <v>1390321</v>
      </c>
      <c r="I18" s="93">
        <f t="shared" si="3"/>
        <v>1390321</v>
      </c>
      <c r="J18" s="93">
        <f t="shared" si="4"/>
        <v>0</v>
      </c>
      <c r="K18" s="51">
        <f t="shared" si="5"/>
        <v>1577</v>
      </c>
      <c r="L18" s="51">
        <f t="shared" si="6"/>
        <v>6939</v>
      </c>
      <c r="M18" s="51">
        <f t="shared" si="7"/>
        <v>0</v>
      </c>
      <c r="O18" s="51">
        <v>297722</v>
      </c>
      <c r="P18" s="93">
        <v>947229</v>
      </c>
      <c r="Q18" s="51">
        <v>1638215</v>
      </c>
      <c r="S18" s="93">
        <v>-150446</v>
      </c>
      <c r="T18" s="51">
        <v>-88625</v>
      </c>
      <c r="U18" s="93">
        <v>-1095739</v>
      </c>
      <c r="W18" s="93">
        <v>11090354</v>
      </c>
      <c r="X18" s="93"/>
      <c r="Y18" s="93">
        <v>1672671</v>
      </c>
      <c r="AA18" s="40"/>
    </row>
    <row r="19" spans="1:27" ht="20.100000000000001" customHeight="1" x14ac:dyDescent="0.25">
      <c r="A19" s="46">
        <v>113</v>
      </c>
      <c r="B19" s="63" t="s">
        <v>116</v>
      </c>
      <c r="C19" s="85">
        <f>'MFPRSI Supplemental Info 2017'!D19</f>
        <v>5.9240300000000003E-3</v>
      </c>
      <c r="D19" s="85">
        <v>6.0440190199960988E-3</v>
      </c>
      <c r="E19" s="93">
        <f>'MFPRSI Supplemental Info 2017'!W19</f>
        <v>3474296</v>
      </c>
      <c r="F19" s="93">
        <f t="shared" si="0"/>
        <v>3544666</v>
      </c>
      <c r="G19" s="93">
        <f t="shared" si="1"/>
        <v>70370</v>
      </c>
      <c r="H19" s="93">
        <f t="shared" si="2"/>
        <v>451135</v>
      </c>
      <c r="I19" s="93">
        <f t="shared" si="3"/>
        <v>451135</v>
      </c>
      <c r="J19" s="93">
        <f t="shared" si="4"/>
        <v>0</v>
      </c>
      <c r="K19" s="51">
        <f t="shared" si="5"/>
        <v>13031</v>
      </c>
      <c r="L19" s="51">
        <f t="shared" si="6"/>
        <v>57339</v>
      </c>
      <c r="M19" s="51">
        <f t="shared" si="7"/>
        <v>0</v>
      </c>
      <c r="O19" s="51">
        <v>96606</v>
      </c>
      <c r="P19" s="93">
        <v>307360</v>
      </c>
      <c r="Q19" s="51">
        <v>531573</v>
      </c>
      <c r="S19" s="93">
        <v>-48817</v>
      </c>
      <c r="T19" s="51">
        <v>-28757</v>
      </c>
      <c r="U19" s="93">
        <v>-355549</v>
      </c>
      <c r="W19" s="93">
        <v>3598630</v>
      </c>
      <c r="X19" s="93"/>
      <c r="Y19" s="93">
        <v>542753</v>
      </c>
      <c r="AA19" s="40"/>
    </row>
    <row r="20" spans="1:27" ht="20.100000000000001" customHeight="1" x14ac:dyDescent="0.25">
      <c r="A20" s="46">
        <v>114</v>
      </c>
      <c r="B20" s="63" t="s">
        <v>117</v>
      </c>
      <c r="C20" s="85">
        <f>'MFPRSI Supplemental Info 2017'!D20</f>
        <v>5.8139049999999998E-2</v>
      </c>
      <c r="D20" s="85">
        <v>5.8169750020291705E-2</v>
      </c>
      <c r="E20" s="93">
        <f>'MFPRSI Supplemental Info 2017'!W20</f>
        <v>34097103</v>
      </c>
      <c r="F20" s="93">
        <f t="shared" si="0"/>
        <v>34115108</v>
      </c>
      <c r="G20" s="93">
        <f t="shared" si="1"/>
        <v>18005</v>
      </c>
      <c r="H20" s="93">
        <f t="shared" si="2"/>
        <v>4341885</v>
      </c>
      <c r="I20" s="93">
        <f t="shared" si="3"/>
        <v>4341885</v>
      </c>
      <c r="J20" s="93">
        <f t="shared" si="4"/>
        <v>0</v>
      </c>
      <c r="K20" s="51">
        <f t="shared" si="5"/>
        <v>3334</v>
      </c>
      <c r="L20" s="51">
        <f t="shared" si="6"/>
        <v>14671</v>
      </c>
      <c r="M20" s="51">
        <f t="shared" si="7"/>
        <v>0</v>
      </c>
      <c r="O20" s="51">
        <v>929767</v>
      </c>
      <c r="P20" s="93">
        <v>2958137</v>
      </c>
      <c r="Q20" s="51">
        <v>5116042</v>
      </c>
      <c r="S20" s="93">
        <v>-469834</v>
      </c>
      <c r="T20" s="51">
        <v>-276771</v>
      </c>
      <c r="U20" s="93">
        <v>-3421923</v>
      </c>
      <c r="W20" s="93">
        <v>34634472</v>
      </c>
      <c r="X20" s="93"/>
      <c r="Y20" s="93">
        <v>5223644</v>
      </c>
      <c r="AA20" s="40"/>
    </row>
    <row r="21" spans="1:27" ht="20.100000000000001" customHeight="1" x14ac:dyDescent="0.25">
      <c r="A21" s="46">
        <v>115</v>
      </c>
      <c r="B21" s="63" t="s">
        <v>118</v>
      </c>
      <c r="C21" s="85">
        <f>'MFPRSI Supplemental Info 2017'!D21</f>
        <v>2.8931600000000001E-3</v>
      </c>
      <c r="D21" s="85">
        <v>2.7193693610329831E-3</v>
      </c>
      <c r="E21" s="93">
        <f>'MFPRSI Supplemental Info 2017'!W21</f>
        <v>1696766</v>
      </c>
      <c r="F21" s="93">
        <f t="shared" si="0"/>
        <v>1594842</v>
      </c>
      <c r="G21" s="93">
        <f t="shared" si="1"/>
        <v>-101924</v>
      </c>
      <c r="H21" s="93">
        <f t="shared" si="2"/>
        <v>202978</v>
      </c>
      <c r="I21" s="93">
        <f t="shared" si="3"/>
        <v>202978</v>
      </c>
      <c r="J21" s="93">
        <f t="shared" si="4"/>
        <v>0</v>
      </c>
      <c r="K21" s="51">
        <f t="shared" si="5"/>
        <v>-18875</v>
      </c>
      <c r="L21" s="51">
        <f t="shared" si="6"/>
        <v>0</v>
      </c>
      <c r="M21" s="51">
        <f t="shared" si="7"/>
        <v>-83049</v>
      </c>
      <c r="O21" s="51">
        <v>43466</v>
      </c>
      <c r="P21" s="93">
        <v>138290</v>
      </c>
      <c r="Q21" s="51">
        <v>239169</v>
      </c>
      <c r="S21" s="93">
        <v>-21964</v>
      </c>
      <c r="T21" s="51">
        <v>-12939</v>
      </c>
      <c r="U21" s="93">
        <v>-159971</v>
      </c>
      <c r="W21" s="93">
        <v>1619122</v>
      </c>
      <c r="X21" s="93"/>
      <c r="Y21" s="93">
        <v>244199</v>
      </c>
      <c r="AA21" s="40"/>
    </row>
    <row r="22" spans="1:27" ht="20.100000000000001" customHeight="1" x14ac:dyDescent="0.25">
      <c r="A22" s="46">
        <v>116</v>
      </c>
      <c r="B22" s="63" t="s">
        <v>119</v>
      </c>
      <c r="C22" s="85">
        <f>'MFPRSI Supplemental Info 2017'!D22</f>
        <v>7.8139829999999993E-2</v>
      </c>
      <c r="D22" s="85">
        <v>7.7520909782646266E-2</v>
      </c>
      <c r="E22" s="93">
        <f>'MFPRSI Supplemental Info 2017'!W22</f>
        <v>45827061</v>
      </c>
      <c r="F22" s="93">
        <f t="shared" si="0"/>
        <v>45464080</v>
      </c>
      <c r="G22" s="93">
        <f t="shared" si="1"/>
        <v>-362981</v>
      </c>
      <c r="H22" s="93">
        <f t="shared" si="2"/>
        <v>5786288</v>
      </c>
      <c r="I22" s="93">
        <f t="shared" si="3"/>
        <v>5786288</v>
      </c>
      <c r="J22" s="93">
        <f t="shared" si="4"/>
        <v>0</v>
      </c>
      <c r="K22" s="51">
        <f t="shared" si="5"/>
        <v>-67219</v>
      </c>
      <c r="L22" s="51">
        <f t="shared" si="6"/>
        <v>0</v>
      </c>
      <c r="M22" s="51">
        <f t="shared" si="7"/>
        <v>-295762</v>
      </c>
      <c r="O22" s="51">
        <v>1239070</v>
      </c>
      <c r="P22" s="93">
        <v>3942211</v>
      </c>
      <c r="Q22" s="51">
        <v>6817981</v>
      </c>
      <c r="S22" s="93">
        <v>-626132</v>
      </c>
      <c r="T22" s="51">
        <v>-368844</v>
      </c>
      <c r="U22" s="93">
        <v>-4560284</v>
      </c>
      <c r="W22" s="93">
        <v>46156220</v>
      </c>
      <c r="X22" s="93"/>
      <c r="Y22" s="93">
        <v>6961378</v>
      </c>
      <c r="AA22" s="40"/>
    </row>
    <row r="23" spans="1:27" ht="20.100000000000001" customHeight="1" x14ac:dyDescent="0.25">
      <c r="A23" s="46">
        <v>117</v>
      </c>
      <c r="B23" s="63" t="s">
        <v>120</v>
      </c>
      <c r="C23" s="85">
        <f>'MFPRSI Supplemental Info 2017'!D23</f>
        <v>3.1374200000000001E-3</v>
      </c>
      <c r="D23" s="85">
        <v>2.9519696111554683E-3</v>
      </c>
      <c r="E23" s="93">
        <f>'MFPRSI Supplemental Info 2017'!W23</f>
        <v>1840019</v>
      </c>
      <c r="F23" s="93">
        <f t="shared" si="0"/>
        <v>1731257</v>
      </c>
      <c r="G23" s="93">
        <f t="shared" si="1"/>
        <v>-108762</v>
      </c>
      <c r="H23" s="93">
        <f t="shared" si="2"/>
        <v>220340</v>
      </c>
      <c r="I23" s="93">
        <f t="shared" si="3"/>
        <v>220340</v>
      </c>
      <c r="J23" s="93">
        <f t="shared" si="4"/>
        <v>0</v>
      </c>
      <c r="K23" s="51">
        <f t="shared" si="5"/>
        <v>-20141</v>
      </c>
      <c r="L23" s="51">
        <f t="shared" si="6"/>
        <v>0</v>
      </c>
      <c r="M23" s="51">
        <f t="shared" si="7"/>
        <v>-88621</v>
      </c>
      <c r="O23" s="51">
        <v>47183</v>
      </c>
      <c r="P23" s="93">
        <v>150118</v>
      </c>
      <c r="Q23" s="51">
        <v>259626</v>
      </c>
      <c r="S23" s="93">
        <v>-23843</v>
      </c>
      <c r="T23" s="51">
        <v>-14045</v>
      </c>
      <c r="U23" s="93">
        <v>-173654</v>
      </c>
      <c r="W23" s="93">
        <v>1757613</v>
      </c>
      <c r="X23" s="93"/>
      <c r="Y23" s="93">
        <v>265087</v>
      </c>
      <c r="AA23" s="40"/>
    </row>
    <row r="24" spans="1:27" ht="20.100000000000001" customHeight="1" x14ac:dyDescent="0.25">
      <c r="A24" s="46">
        <v>118</v>
      </c>
      <c r="B24" s="63" t="s">
        <v>121</v>
      </c>
      <c r="C24" s="85">
        <f>'MFPRSI Supplemental Info 2017'!D24</f>
        <v>0.18007197999999999</v>
      </c>
      <c r="D24" s="85">
        <v>0.18524274951046768</v>
      </c>
      <c r="E24" s="93">
        <f>'MFPRSI Supplemental Info 2017'!W24</f>
        <v>105607726</v>
      </c>
      <c r="F24" s="93">
        <f t="shared" si="0"/>
        <v>108640253</v>
      </c>
      <c r="G24" s="93">
        <f t="shared" si="1"/>
        <v>3032527</v>
      </c>
      <c r="H24" s="93">
        <f t="shared" si="2"/>
        <v>13826822</v>
      </c>
      <c r="I24" s="93">
        <f t="shared" si="3"/>
        <v>13826822</v>
      </c>
      <c r="J24" s="93">
        <f t="shared" si="4"/>
        <v>0</v>
      </c>
      <c r="K24" s="51">
        <f t="shared" si="5"/>
        <v>561579</v>
      </c>
      <c r="L24" s="51">
        <f t="shared" si="6"/>
        <v>2470948</v>
      </c>
      <c r="M24" s="51">
        <f t="shared" si="7"/>
        <v>0</v>
      </c>
      <c r="O24" s="51">
        <v>2960861</v>
      </c>
      <c r="P24" s="93">
        <v>9420246</v>
      </c>
      <c r="Q24" s="51">
        <v>16292140</v>
      </c>
      <c r="S24" s="93">
        <v>-1496197</v>
      </c>
      <c r="T24" s="51">
        <v>-881380</v>
      </c>
      <c r="U24" s="93">
        <v>-10897182</v>
      </c>
      <c r="W24" s="93">
        <v>110294179</v>
      </c>
      <c r="X24" s="93"/>
      <c r="Y24" s="93">
        <v>16634803</v>
      </c>
      <c r="AA24" s="40"/>
    </row>
    <row r="25" spans="1:27" ht="20.100000000000001" customHeight="1" x14ac:dyDescent="0.25">
      <c r="A25" s="46">
        <v>119</v>
      </c>
      <c r="B25" s="63" t="s">
        <v>122</v>
      </c>
      <c r="C25" s="85">
        <f>'MFPRSI Supplemental Info 2017'!D25</f>
        <v>2.1830500000000002E-3</v>
      </c>
      <c r="D25" s="85">
        <v>2.2278690484054892E-3</v>
      </c>
      <c r="E25" s="93">
        <f>'MFPRSI Supplemental Info 2017'!W25</f>
        <v>1280304</v>
      </c>
      <c r="F25" s="93">
        <f t="shared" si="0"/>
        <v>1306590</v>
      </c>
      <c r="G25" s="93">
        <f t="shared" si="1"/>
        <v>26286</v>
      </c>
      <c r="H25" s="93">
        <f t="shared" si="2"/>
        <v>166292</v>
      </c>
      <c r="I25" s="93">
        <f t="shared" si="3"/>
        <v>166292</v>
      </c>
      <c r="J25" s="93">
        <f t="shared" si="4"/>
        <v>0</v>
      </c>
      <c r="K25" s="51">
        <f t="shared" si="5"/>
        <v>4868</v>
      </c>
      <c r="L25" s="51">
        <f t="shared" si="6"/>
        <v>21418</v>
      </c>
      <c r="M25" s="51">
        <f t="shared" si="7"/>
        <v>0</v>
      </c>
      <c r="O25" s="51">
        <v>35610</v>
      </c>
      <c r="P25" s="93">
        <v>113295</v>
      </c>
      <c r="Q25" s="51">
        <v>195942</v>
      </c>
      <c r="S25" s="93">
        <v>-17994</v>
      </c>
      <c r="T25" s="51">
        <v>-10600</v>
      </c>
      <c r="U25" s="93">
        <v>-131058</v>
      </c>
      <c r="W25" s="93">
        <v>1326481</v>
      </c>
      <c r="X25" s="93"/>
      <c r="Y25" s="93">
        <v>200063</v>
      </c>
      <c r="AA25" s="40"/>
    </row>
    <row r="26" spans="1:27" ht="20.100000000000001" customHeight="1" x14ac:dyDescent="0.25">
      <c r="A26" s="46">
        <v>120</v>
      </c>
      <c r="B26" s="63" t="s">
        <v>123</v>
      </c>
      <c r="C26" s="85">
        <f>'MFPRSI Supplemental Info 2017'!D26</f>
        <v>4.7848679999999998E-2</v>
      </c>
      <c r="D26" s="85">
        <v>4.8638910641784668E-2</v>
      </c>
      <c r="E26" s="93">
        <f>'MFPRSI Supplemental Info 2017'!W26</f>
        <v>28062057</v>
      </c>
      <c r="F26" s="93">
        <f t="shared" si="0"/>
        <v>28525508</v>
      </c>
      <c r="G26" s="93">
        <f t="shared" si="1"/>
        <v>463451</v>
      </c>
      <c r="H26" s="93">
        <f t="shared" si="2"/>
        <v>3630488</v>
      </c>
      <c r="I26" s="93">
        <f t="shared" si="3"/>
        <v>3630488</v>
      </c>
      <c r="J26" s="93">
        <f t="shared" si="4"/>
        <v>0</v>
      </c>
      <c r="K26" s="51">
        <f t="shared" si="5"/>
        <v>85824</v>
      </c>
      <c r="L26" s="51">
        <f t="shared" si="6"/>
        <v>377627</v>
      </c>
      <c r="M26" s="51">
        <f t="shared" si="7"/>
        <v>0</v>
      </c>
      <c r="O26" s="51">
        <v>777429</v>
      </c>
      <c r="P26" s="93">
        <v>2473460</v>
      </c>
      <c r="Q26" s="51">
        <v>4277803</v>
      </c>
      <c r="S26" s="93">
        <v>-392854</v>
      </c>
      <c r="T26" s="51">
        <v>-231423</v>
      </c>
      <c r="U26" s="93">
        <v>-2861257</v>
      </c>
      <c r="W26" s="93">
        <v>28959777</v>
      </c>
      <c r="X26" s="93"/>
      <c r="Y26" s="93">
        <v>4367775</v>
      </c>
      <c r="AA26" s="40"/>
    </row>
    <row r="27" spans="1:27" ht="20.100000000000001" customHeight="1" x14ac:dyDescent="0.25">
      <c r="A27" s="46">
        <v>121</v>
      </c>
      <c r="B27" s="63" t="s">
        <v>124</v>
      </c>
      <c r="C27" s="85">
        <f>'MFPRSI Supplemental Info 2017'!D27</f>
        <v>2.3517400000000002E-3</v>
      </c>
      <c r="D27" s="85">
        <v>2.4053587714376284E-3</v>
      </c>
      <c r="E27" s="93">
        <f>'MFPRSI Supplemental Info 2017'!W27</f>
        <v>1379237</v>
      </c>
      <c r="F27" s="93">
        <f t="shared" si="0"/>
        <v>1410683</v>
      </c>
      <c r="G27" s="93">
        <f t="shared" si="1"/>
        <v>31446</v>
      </c>
      <c r="H27" s="93">
        <f t="shared" si="2"/>
        <v>179540</v>
      </c>
      <c r="I27" s="93">
        <f t="shared" si="3"/>
        <v>179540</v>
      </c>
      <c r="J27" s="93">
        <f t="shared" si="4"/>
        <v>0</v>
      </c>
      <c r="K27" s="51">
        <f t="shared" si="5"/>
        <v>5823</v>
      </c>
      <c r="L27" s="51">
        <f t="shared" si="6"/>
        <v>25623</v>
      </c>
      <c r="M27" s="51">
        <f t="shared" si="7"/>
        <v>0</v>
      </c>
      <c r="O27" s="51">
        <v>38447</v>
      </c>
      <c r="P27" s="93">
        <v>122321</v>
      </c>
      <c r="Q27" s="51">
        <v>211552</v>
      </c>
      <c r="S27" s="93">
        <v>-19428</v>
      </c>
      <c r="T27" s="51">
        <v>-11445</v>
      </c>
      <c r="U27" s="93">
        <v>-141499</v>
      </c>
      <c r="W27" s="93">
        <v>1432159</v>
      </c>
      <c r="X27" s="93"/>
      <c r="Y27" s="93">
        <v>216001</v>
      </c>
      <c r="AA27" s="40"/>
    </row>
    <row r="28" spans="1:27" ht="20.100000000000001" customHeight="1" x14ac:dyDescent="0.25">
      <c r="A28" s="46">
        <v>122</v>
      </c>
      <c r="B28" s="63" t="s">
        <v>125</v>
      </c>
      <c r="C28" s="85">
        <f>'MFPRSI Supplemental Info 2017'!D28</f>
        <v>1.20476E-3</v>
      </c>
      <c r="D28" s="85">
        <v>1.1974686335688189E-3</v>
      </c>
      <c r="E28" s="93">
        <f>'MFPRSI Supplemental Info 2017'!W28</f>
        <v>706562</v>
      </c>
      <c r="F28" s="93">
        <f t="shared" si="0"/>
        <v>702285</v>
      </c>
      <c r="G28" s="93">
        <f t="shared" si="1"/>
        <v>-4277</v>
      </c>
      <c r="H28" s="93">
        <f t="shared" si="2"/>
        <v>89381</v>
      </c>
      <c r="I28" s="93">
        <f t="shared" si="3"/>
        <v>89381</v>
      </c>
      <c r="J28" s="93">
        <f t="shared" si="4"/>
        <v>0</v>
      </c>
      <c r="K28" s="51">
        <f t="shared" si="5"/>
        <v>-792</v>
      </c>
      <c r="L28" s="51">
        <f t="shared" si="6"/>
        <v>0</v>
      </c>
      <c r="M28" s="51">
        <f t="shared" si="7"/>
        <v>-3485</v>
      </c>
      <c r="O28" s="51">
        <v>19140</v>
      </c>
      <c r="P28" s="93">
        <v>60896</v>
      </c>
      <c r="Q28" s="51">
        <v>105318</v>
      </c>
      <c r="S28" s="93">
        <v>-9672</v>
      </c>
      <c r="T28" s="51">
        <v>-5698</v>
      </c>
      <c r="U28" s="93">
        <v>-70443</v>
      </c>
      <c r="W28" s="93">
        <v>712977</v>
      </c>
      <c r="X28" s="93"/>
      <c r="Y28" s="93">
        <v>107533</v>
      </c>
      <c r="AA28" s="40"/>
    </row>
    <row r="29" spans="1:27" ht="20.100000000000001" customHeight="1" x14ac:dyDescent="0.25">
      <c r="A29" s="46">
        <v>123</v>
      </c>
      <c r="B29" s="63" t="s">
        <v>126</v>
      </c>
      <c r="C29" s="85">
        <f>'MFPRSI Supplemental Info 2017'!D29</f>
        <v>3.4895099999999999E-3</v>
      </c>
      <c r="D29" s="85">
        <v>3.4379896065338295E-3</v>
      </c>
      <c r="E29" s="93">
        <f>'MFPRSI Supplemental Info 2017'!W29</f>
        <v>2046511</v>
      </c>
      <c r="F29" s="93">
        <f t="shared" si="0"/>
        <v>2016295</v>
      </c>
      <c r="G29" s="93">
        <f t="shared" si="1"/>
        <v>-30216</v>
      </c>
      <c r="H29" s="93">
        <f t="shared" si="2"/>
        <v>256617</v>
      </c>
      <c r="I29" s="93">
        <f t="shared" si="3"/>
        <v>256617</v>
      </c>
      <c r="J29" s="93">
        <f t="shared" si="4"/>
        <v>0</v>
      </c>
      <c r="K29" s="51">
        <f t="shared" si="5"/>
        <v>-5596</v>
      </c>
      <c r="L29" s="51">
        <f t="shared" si="6"/>
        <v>0</v>
      </c>
      <c r="M29" s="51">
        <f t="shared" si="7"/>
        <v>-24620</v>
      </c>
      <c r="O29" s="51">
        <v>54952</v>
      </c>
      <c r="P29" s="93">
        <v>174834</v>
      </c>
      <c r="Q29" s="51">
        <v>302372</v>
      </c>
      <c r="S29" s="93">
        <v>-27768</v>
      </c>
      <c r="T29" s="51">
        <v>-16358</v>
      </c>
      <c r="U29" s="93">
        <v>-202245</v>
      </c>
      <c r="W29" s="93">
        <v>2046991</v>
      </c>
      <c r="X29" s="93"/>
      <c r="Y29" s="93">
        <v>308732</v>
      </c>
      <c r="AA29" s="40"/>
    </row>
    <row r="30" spans="1:27" ht="20.100000000000001" customHeight="1" x14ac:dyDescent="0.25">
      <c r="A30" s="46">
        <v>124</v>
      </c>
      <c r="B30" s="63" t="s">
        <v>127</v>
      </c>
      <c r="C30" s="85">
        <f>'MFPRSI Supplemental Info 2017'!D30</f>
        <v>1.494614E-2</v>
      </c>
      <c r="D30" s="85">
        <v>1.5440989515064766E-2</v>
      </c>
      <c r="E30" s="93">
        <f>'MFPRSI Supplemental Info 2017'!W30</f>
        <v>8765538</v>
      </c>
      <c r="F30" s="93">
        <f t="shared" si="0"/>
        <v>9055755</v>
      </c>
      <c r="G30" s="93">
        <f t="shared" si="1"/>
        <v>290217</v>
      </c>
      <c r="H30" s="93">
        <f t="shared" si="2"/>
        <v>1152541</v>
      </c>
      <c r="I30" s="93">
        <f t="shared" si="3"/>
        <v>1152541</v>
      </c>
      <c r="J30" s="93">
        <f t="shared" si="4"/>
        <v>0</v>
      </c>
      <c r="K30" s="51">
        <f t="shared" si="5"/>
        <v>53744</v>
      </c>
      <c r="L30" s="51">
        <f t="shared" si="6"/>
        <v>236473</v>
      </c>
      <c r="M30" s="51">
        <f t="shared" si="7"/>
        <v>0</v>
      </c>
      <c r="O30" s="51">
        <v>246804</v>
      </c>
      <c r="P30" s="93">
        <v>785229</v>
      </c>
      <c r="Q30" s="51">
        <v>1358038</v>
      </c>
      <c r="S30" s="93">
        <v>-124716</v>
      </c>
      <c r="T30" s="51">
        <v>-73468</v>
      </c>
      <c r="U30" s="93">
        <v>-908339</v>
      </c>
      <c r="W30" s="93">
        <v>9193619</v>
      </c>
      <c r="X30" s="93"/>
      <c r="Y30" s="93">
        <v>1386601</v>
      </c>
      <c r="AA30" s="40"/>
    </row>
    <row r="31" spans="1:27" ht="20.100000000000001" customHeight="1" x14ac:dyDescent="0.25">
      <c r="A31" s="46">
        <v>125</v>
      </c>
      <c r="B31" s="63" t="s">
        <v>128</v>
      </c>
      <c r="C31" s="85">
        <f>'MFPRSI Supplemental Info 2017'!D31</f>
        <v>7.2040100000000003E-3</v>
      </c>
      <c r="D31" s="85">
        <v>7.2205707454985057E-3</v>
      </c>
      <c r="E31" s="93">
        <f>'MFPRSI Supplemental Info 2017'!W31</f>
        <v>4224972</v>
      </c>
      <c r="F31" s="93">
        <f t="shared" si="0"/>
        <v>4234685</v>
      </c>
      <c r="G31" s="93">
        <f t="shared" si="1"/>
        <v>9713</v>
      </c>
      <c r="H31" s="93">
        <f t="shared" si="2"/>
        <v>538955</v>
      </c>
      <c r="I31" s="93">
        <f t="shared" si="3"/>
        <v>538955</v>
      </c>
      <c r="J31" s="93">
        <f t="shared" si="4"/>
        <v>0</v>
      </c>
      <c r="K31" s="51">
        <f t="shared" si="5"/>
        <v>1799</v>
      </c>
      <c r="L31" s="51">
        <f t="shared" si="6"/>
        <v>7914</v>
      </c>
      <c r="M31" s="51">
        <f t="shared" si="7"/>
        <v>0</v>
      </c>
      <c r="O31" s="51">
        <v>115411</v>
      </c>
      <c r="P31" s="93">
        <v>367191</v>
      </c>
      <c r="Q31" s="51">
        <v>635051</v>
      </c>
      <c r="S31" s="93">
        <v>-58320</v>
      </c>
      <c r="T31" s="51">
        <v>-34355</v>
      </c>
      <c r="U31" s="93">
        <v>-424761</v>
      </c>
      <c r="W31" s="93">
        <v>4299153</v>
      </c>
      <c r="X31" s="93"/>
      <c r="Y31" s="93">
        <v>648407</v>
      </c>
      <c r="AA31" s="40"/>
    </row>
    <row r="32" spans="1:27" ht="20.100000000000001" customHeight="1" x14ac:dyDescent="0.25">
      <c r="A32" s="46">
        <v>126</v>
      </c>
      <c r="B32" s="63" t="s">
        <v>129</v>
      </c>
      <c r="C32" s="85">
        <f>'MFPRSI Supplemental Info 2017'!D32</f>
        <v>4.1293099999999998E-3</v>
      </c>
      <c r="D32" s="85">
        <v>3.9917199880288908E-3</v>
      </c>
      <c r="E32" s="93">
        <f>'MFPRSI Supplemental Info 2017'!W32</f>
        <v>2421737</v>
      </c>
      <c r="F32" s="93">
        <f t="shared" si="0"/>
        <v>2341044</v>
      </c>
      <c r="G32" s="93">
        <f t="shared" si="1"/>
        <v>-80693</v>
      </c>
      <c r="H32" s="93">
        <f t="shared" si="2"/>
        <v>297949</v>
      </c>
      <c r="I32" s="93">
        <f t="shared" si="3"/>
        <v>297949</v>
      </c>
      <c r="J32" s="93">
        <f t="shared" si="4"/>
        <v>0</v>
      </c>
      <c r="K32" s="51">
        <f t="shared" si="5"/>
        <v>-14943</v>
      </c>
      <c r="L32" s="51">
        <f t="shared" si="6"/>
        <v>0</v>
      </c>
      <c r="M32" s="51">
        <f t="shared" si="7"/>
        <v>-65750</v>
      </c>
      <c r="O32" s="51">
        <v>63802</v>
      </c>
      <c r="P32" s="93">
        <v>202993</v>
      </c>
      <c r="Q32" s="51">
        <v>351073</v>
      </c>
      <c r="S32" s="93">
        <v>-32241</v>
      </c>
      <c r="T32" s="51">
        <v>-18993</v>
      </c>
      <c r="U32" s="93">
        <v>-234819</v>
      </c>
      <c r="W32" s="93">
        <v>2376684</v>
      </c>
      <c r="X32" s="93"/>
      <c r="Y32" s="93">
        <v>358456</v>
      </c>
      <c r="AA32" s="40"/>
    </row>
    <row r="33" spans="1:27" ht="20.100000000000001" customHeight="1" x14ac:dyDescent="0.25">
      <c r="A33" s="46">
        <v>127</v>
      </c>
      <c r="B33" s="63" t="s">
        <v>130</v>
      </c>
      <c r="C33" s="85">
        <f>'MFPRSI Supplemental Info 2017'!D33</f>
        <v>4.5580999999999998E-3</v>
      </c>
      <c r="D33" s="85">
        <v>4.208999535133727E-3</v>
      </c>
      <c r="E33" s="93">
        <f>'MFPRSI Supplemental Info 2017'!W33</f>
        <v>2673212</v>
      </c>
      <c r="F33" s="93">
        <f t="shared" si="0"/>
        <v>2468473</v>
      </c>
      <c r="G33" s="93">
        <f t="shared" si="1"/>
        <v>-204739</v>
      </c>
      <c r="H33" s="93">
        <f t="shared" si="2"/>
        <v>314167</v>
      </c>
      <c r="I33" s="93">
        <f t="shared" si="3"/>
        <v>314167</v>
      </c>
      <c r="J33" s="93">
        <f t="shared" si="4"/>
        <v>0</v>
      </c>
      <c r="K33" s="51">
        <f t="shared" si="5"/>
        <v>-37915</v>
      </c>
      <c r="L33" s="51">
        <f t="shared" si="6"/>
        <v>0</v>
      </c>
      <c r="M33" s="51">
        <f t="shared" si="7"/>
        <v>-166824</v>
      </c>
      <c r="O33" s="51">
        <v>67275</v>
      </c>
      <c r="P33" s="93">
        <v>214042</v>
      </c>
      <c r="Q33" s="51">
        <v>370182</v>
      </c>
      <c r="S33" s="93">
        <v>-33996</v>
      </c>
      <c r="T33" s="51">
        <v>-20026</v>
      </c>
      <c r="U33" s="93">
        <v>-247601</v>
      </c>
      <c r="W33" s="93">
        <v>2506053</v>
      </c>
      <c r="X33" s="93"/>
      <c r="Y33" s="93">
        <v>377968</v>
      </c>
      <c r="AA33" s="40"/>
    </row>
    <row r="34" spans="1:27" ht="20.100000000000001" customHeight="1" x14ac:dyDescent="0.25">
      <c r="A34" s="46">
        <v>128</v>
      </c>
      <c r="B34" s="63" t="s">
        <v>131</v>
      </c>
      <c r="C34" s="85">
        <f>'MFPRSI Supplemental Info 2017'!D34</f>
        <v>3.6486350000000001E-2</v>
      </c>
      <c r="D34" s="85">
        <v>3.7069700601199199E-2</v>
      </c>
      <c r="E34" s="93">
        <f>'MFPRSI Supplemental Info 2017'!W34</f>
        <v>21398334</v>
      </c>
      <c r="F34" s="93">
        <f t="shared" si="0"/>
        <v>21740455</v>
      </c>
      <c r="G34" s="93">
        <f t="shared" si="1"/>
        <v>342121</v>
      </c>
      <c r="H34" s="93">
        <f t="shared" si="2"/>
        <v>2766943</v>
      </c>
      <c r="I34" s="93">
        <f t="shared" si="3"/>
        <v>2766943</v>
      </c>
      <c r="J34" s="93">
        <f t="shared" si="4"/>
        <v>0</v>
      </c>
      <c r="K34" s="51">
        <f t="shared" si="5"/>
        <v>63356</v>
      </c>
      <c r="L34" s="51">
        <f t="shared" si="6"/>
        <v>278765</v>
      </c>
      <c r="M34" s="51">
        <f t="shared" si="7"/>
        <v>0</v>
      </c>
      <c r="O34" s="51">
        <v>592510</v>
      </c>
      <c r="P34" s="93">
        <v>1885125</v>
      </c>
      <c r="Q34" s="51">
        <v>3260288</v>
      </c>
      <c r="S34" s="93">
        <v>-299410</v>
      </c>
      <c r="T34" s="51">
        <v>-176377</v>
      </c>
      <c r="U34" s="93">
        <v>-2180681</v>
      </c>
      <c r="W34" s="93">
        <v>22071429</v>
      </c>
      <c r="X34" s="93"/>
      <c r="Y34" s="93">
        <v>3328859</v>
      </c>
      <c r="AA34" s="40"/>
    </row>
    <row r="35" spans="1:27" ht="20.100000000000001" customHeight="1" x14ac:dyDescent="0.25">
      <c r="A35" s="46">
        <v>129</v>
      </c>
      <c r="B35" s="63" t="s">
        <v>132</v>
      </c>
      <c r="C35" s="85">
        <f>'MFPRSI Supplemental Info 2017'!D35</f>
        <v>8.3147099999999995E-3</v>
      </c>
      <c r="D35" s="85">
        <v>7.8512203943474721E-3</v>
      </c>
      <c r="E35" s="93">
        <f>'MFPRSI Supplemental Info 2017'!W35</f>
        <v>4876370</v>
      </c>
      <c r="F35" s="93">
        <f t="shared" si="0"/>
        <v>4604545</v>
      </c>
      <c r="G35" s="93">
        <f t="shared" si="1"/>
        <v>-271825</v>
      </c>
      <c r="H35" s="93">
        <f t="shared" si="2"/>
        <v>586028</v>
      </c>
      <c r="I35" s="93">
        <f t="shared" si="3"/>
        <v>586028</v>
      </c>
      <c r="J35" s="93">
        <f t="shared" si="4"/>
        <v>0</v>
      </c>
      <c r="K35" s="51">
        <f t="shared" si="5"/>
        <v>-50338</v>
      </c>
      <c r="L35" s="51">
        <f t="shared" si="6"/>
        <v>0</v>
      </c>
      <c r="M35" s="51">
        <f t="shared" si="7"/>
        <v>-221487</v>
      </c>
      <c r="O35" s="51">
        <v>125491</v>
      </c>
      <c r="P35" s="93">
        <v>399262</v>
      </c>
      <c r="Q35" s="51">
        <v>690516</v>
      </c>
      <c r="S35" s="93">
        <v>-63414</v>
      </c>
      <c r="T35" s="51">
        <v>-37356</v>
      </c>
      <c r="U35" s="93">
        <v>-461860</v>
      </c>
      <c r="W35" s="93">
        <v>4674644</v>
      </c>
      <c r="X35" s="93"/>
      <c r="Y35" s="93">
        <v>705040</v>
      </c>
      <c r="AA35" s="40"/>
    </row>
    <row r="36" spans="1:27" ht="20.100000000000001" customHeight="1" x14ac:dyDescent="0.25">
      <c r="A36" s="46">
        <v>130</v>
      </c>
      <c r="B36" s="63" t="s">
        <v>133</v>
      </c>
      <c r="C36" s="85">
        <f>'MFPRSI Supplemental Info 2017'!D36</f>
        <v>2.6952E-3</v>
      </c>
      <c r="D36" s="85">
        <v>2.7070886133389407E-3</v>
      </c>
      <c r="E36" s="93">
        <f>'MFPRSI Supplemental Info 2017'!W36</f>
        <v>1580668</v>
      </c>
      <c r="F36" s="93">
        <f t="shared" si="0"/>
        <v>1587640</v>
      </c>
      <c r="G36" s="93">
        <f t="shared" si="1"/>
        <v>6972</v>
      </c>
      <c r="H36" s="93">
        <f t="shared" si="2"/>
        <v>202062</v>
      </c>
      <c r="I36" s="93">
        <f t="shared" si="3"/>
        <v>202062</v>
      </c>
      <c r="J36" s="93">
        <f t="shared" si="4"/>
        <v>0</v>
      </c>
      <c r="K36" s="51">
        <f t="shared" si="5"/>
        <v>1291</v>
      </c>
      <c r="L36" s="51">
        <f t="shared" si="6"/>
        <v>5681</v>
      </c>
      <c r="M36" s="51">
        <f t="shared" si="7"/>
        <v>0</v>
      </c>
      <c r="O36" s="51">
        <v>43269</v>
      </c>
      <c r="P36" s="93">
        <v>137665</v>
      </c>
      <c r="Q36" s="51">
        <v>238089</v>
      </c>
      <c r="S36" s="93">
        <v>-21865</v>
      </c>
      <c r="T36" s="51">
        <v>-12880</v>
      </c>
      <c r="U36" s="93">
        <v>-159249</v>
      </c>
      <c r="W36" s="93">
        <v>1611810</v>
      </c>
      <c r="X36" s="93"/>
      <c r="Y36" s="93">
        <v>243097</v>
      </c>
      <c r="AA36" s="40"/>
    </row>
    <row r="37" spans="1:27" ht="20.100000000000001" customHeight="1" x14ac:dyDescent="0.25">
      <c r="A37" s="46">
        <v>131</v>
      </c>
      <c r="B37" s="67" t="s">
        <v>134</v>
      </c>
      <c r="C37" s="85">
        <f>'MFPRSI Supplemental Info 2017'!D37</f>
        <v>3.5157700000000001E-3</v>
      </c>
      <c r="D37" s="85">
        <v>3.1899594837273768E-3</v>
      </c>
      <c r="E37" s="93">
        <f>'MFPRSI Supplemental Info 2017'!W37</f>
        <v>2061911</v>
      </c>
      <c r="F37" s="93">
        <f t="shared" si="0"/>
        <v>1870832</v>
      </c>
      <c r="G37" s="93">
        <f t="shared" si="1"/>
        <v>-191079</v>
      </c>
      <c r="H37" s="93">
        <f t="shared" si="2"/>
        <v>238104</v>
      </c>
      <c r="I37" s="93">
        <f t="shared" si="3"/>
        <v>238104</v>
      </c>
      <c r="J37" s="93">
        <f t="shared" si="4"/>
        <v>0</v>
      </c>
      <c r="K37" s="51">
        <f t="shared" si="5"/>
        <v>-35385</v>
      </c>
      <c r="L37" s="51">
        <f t="shared" si="6"/>
        <v>0</v>
      </c>
      <c r="M37" s="51">
        <f t="shared" si="7"/>
        <v>-155694</v>
      </c>
      <c r="O37" s="51">
        <v>50987</v>
      </c>
      <c r="P37" s="93">
        <v>162221</v>
      </c>
      <c r="Q37" s="51">
        <v>280558</v>
      </c>
      <c r="S37" s="93">
        <v>-25765</v>
      </c>
      <c r="T37" s="51">
        <v>-15178</v>
      </c>
      <c r="U37" s="93">
        <v>-187654</v>
      </c>
      <c r="W37" s="93">
        <v>1899313</v>
      </c>
      <c r="X37" s="93"/>
      <c r="Y37" s="93">
        <v>286458</v>
      </c>
      <c r="AA37" s="40"/>
    </row>
    <row r="38" spans="1:27" ht="20.100000000000001" customHeight="1" x14ac:dyDescent="0.25">
      <c r="A38" s="46">
        <v>132</v>
      </c>
      <c r="B38" s="63" t="s">
        <v>135</v>
      </c>
      <c r="C38" s="85">
        <f>'MFPRSI Supplemental Info 2017'!D38</f>
        <v>2.1241699999999999E-3</v>
      </c>
      <c r="D38" s="85">
        <v>2.0860996401923996E-3</v>
      </c>
      <c r="E38" s="93">
        <f>'MFPRSI Supplemental Info 2017'!W38</f>
        <v>1245773</v>
      </c>
      <c r="F38" s="93">
        <f t="shared" si="0"/>
        <v>1223445</v>
      </c>
      <c r="G38" s="93">
        <f t="shared" si="1"/>
        <v>-22328</v>
      </c>
      <c r="H38" s="93">
        <f t="shared" si="2"/>
        <v>155710</v>
      </c>
      <c r="I38" s="93">
        <f t="shared" si="3"/>
        <v>155710</v>
      </c>
      <c r="J38" s="93">
        <f t="shared" si="4"/>
        <v>0</v>
      </c>
      <c r="K38" s="51">
        <f t="shared" si="5"/>
        <v>-4135</v>
      </c>
      <c r="L38" s="51">
        <f t="shared" si="6"/>
        <v>0</v>
      </c>
      <c r="M38" s="51">
        <f t="shared" si="7"/>
        <v>-18193</v>
      </c>
      <c r="O38" s="51">
        <v>33344</v>
      </c>
      <c r="P38" s="93">
        <v>106086</v>
      </c>
      <c r="Q38" s="51">
        <v>183473</v>
      </c>
      <c r="S38" s="93">
        <v>-16849</v>
      </c>
      <c r="T38" s="51">
        <v>-9926</v>
      </c>
      <c r="U38" s="93">
        <v>-122718</v>
      </c>
      <c r="W38" s="93">
        <v>1242071</v>
      </c>
      <c r="X38" s="93"/>
      <c r="Y38" s="93">
        <v>187332</v>
      </c>
      <c r="AA38" s="40"/>
    </row>
    <row r="39" spans="1:27" ht="20.100000000000001" customHeight="1" x14ac:dyDescent="0.25">
      <c r="A39" s="46">
        <v>133</v>
      </c>
      <c r="B39" s="67" t="s">
        <v>136</v>
      </c>
      <c r="C39" s="85">
        <f>'MFPRSI Supplemental Info 2017'!D39</f>
        <v>2.0101250000000001E-2</v>
      </c>
      <c r="D39" s="85">
        <v>2.0331150663885848E-2</v>
      </c>
      <c r="E39" s="93">
        <f>'MFPRSI Supplemental Info 2017'!W39</f>
        <v>11788882</v>
      </c>
      <c r="F39" s="93">
        <f t="shared" si="0"/>
        <v>11923713</v>
      </c>
      <c r="G39" s="93">
        <f t="shared" si="1"/>
        <v>134831</v>
      </c>
      <c r="H39" s="93">
        <f t="shared" si="2"/>
        <v>1517550</v>
      </c>
      <c r="I39" s="93">
        <f t="shared" si="3"/>
        <v>1517550</v>
      </c>
      <c r="J39" s="93">
        <f t="shared" si="4"/>
        <v>0</v>
      </c>
      <c r="K39" s="51">
        <f t="shared" si="5"/>
        <v>24969</v>
      </c>
      <c r="L39" s="51">
        <f t="shared" si="6"/>
        <v>109862</v>
      </c>
      <c r="M39" s="51">
        <f t="shared" si="7"/>
        <v>0</v>
      </c>
      <c r="O39" s="51">
        <v>324967</v>
      </c>
      <c r="P39" s="93">
        <v>1033911</v>
      </c>
      <c r="Q39" s="51">
        <v>1788129</v>
      </c>
      <c r="S39" s="93">
        <v>-164214</v>
      </c>
      <c r="T39" s="51">
        <v>-96735</v>
      </c>
      <c r="U39" s="93">
        <v>-1196010</v>
      </c>
      <c r="W39" s="93">
        <v>12105238</v>
      </c>
      <c r="X39" s="93"/>
      <c r="Y39" s="93">
        <v>1825737</v>
      </c>
      <c r="AA39" s="40"/>
    </row>
    <row r="40" spans="1:27" ht="20.100000000000001" customHeight="1" x14ac:dyDescent="0.25">
      <c r="A40" s="46">
        <v>134</v>
      </c>
      <c r="B40" s="63" t="s">
        <v>137</v>
      </c>
      <c r="C40" s="85">
        <f>'MFPRSI Supplemental Info 2017'!D40</f>
        <v>1.4803739999999999E-2</v>
      </c>
      <c r="D40" s="85">
        <v>1.5347239644231375E-2</v>
      </c>
      <c r="E40" s="93">
        <f>'MFPRSI Supplemental Info 2017'!W40</f>
        <v>8682024</v>
      </c>
      <c r="F40" s="93">
        <f t="shared" si="0"/>
        <v>9000773</v>
      </c>
      <c r="G40" s="93">
        <f t="shared" si="1"/>
        <v>318749</v>
      </c>
      <c r="H40" s="93">
        <f t="shared" si="2"/>
        <v>1145543</v>
      </c>
      <c r="I40" s="93">
        <f t="shared" si="3"/>
        <v>1145543</v>
      </c>
      <c r="J40" s="93">
        <f t="shared" si="4"/>
        <v>0</v>
      </c>
      <c r="K40" s="51">
        <f t="shared" si="5"/>
        <v>59028</v>
      </c>
      <c r="L40" s="51">
        <f t="shared" si="6"/>
        <v>259721</v>
      </c>
      <c r="M40" s="51">
        <f t="shared" si="7"/>
        <v>0</v>
      </c>
      <c r="O40" s="51">
        <v>245305</v>
      </c>
      <c r="P40" s="93">
        <v>780461</v>
      </c>
      <c r="Q40" s="51">
        <v>1349793</v>
      </c>
      <c r="S40" s="93">
        <v>-123959</v>
      </c>
      <c r="T40" s="51">
        <v>-73022</v>
      </c>
      <c r="U40" s="93">
        <v>-902824</v>
      </c>
      <c r="W40" s="93">
        <v>9137800</v>
      </c>
      <c r="X40" s="93"/>
      <c r="Y40" s="93">
        <v>1378182</v>
      </c>
      <c r="AA40" s="40"/>
    </row>
    <row r="41" spans="1:27" ht="20.100000000000001" customHeight="1" x14ac:dyDescent="0.25">
      <c r="A41" s="46">
        <v>135</v>
      </c>
      <c r="B41" s="67" t="s">
        <v>138</v>
      </c>
      <c r="C41" s="85">
        <f>'MFPRSI Supplemental Info 2017'!D41</f>
        <v>2.030274E-2</v>
      </c>
      <c r="D41" s="85">
        <v>2.0147730508672683E-2</v>
      </c>
      <c r="E41" s="93">
        <f>'MFPRSI Supplemental Info 2017'!W41</f>
        <v>11907051</v>
      </c>
      <c r="F41" s="93">
        <f t="shared" si="0"/>
        <v>11816141</v>
      </c>
      <c r="G41" s="93">
        <f t="shared" si="1"/>
        <v>-90910</v>
      </c>
      <c r="H41" s="93">
        <f t="shared" si="2"/>
        <v>1503860</v>
      </c>
      <c r="I41" s="93">
        <f t="shared" si="3"/>
        <v>1503860</v>
      </c>
      <c r="J41" s="93">
        <f t="shared" si="4"/>
        <v>0</v>
      </c>
      <c r="K41" s="51">
        <f t="shared" si="5"/>
        <v>-16835</v>
      </c>
      <c r="L41" s="51">
        <f t="shared" si="6"/>
        <v>0</v>
      </c>
      <c r="M41" s="51">
        <f t="shared" si="7"/>
        <v>-74075</v>
      </c>
      <c r="O41" s="51">
        <v>322035</v>
      </c>
      <c r="P41" s="93">
        <v>1024583</v>
      </c>
      <c r="Q41" s="51">
        <v>1771997</v>
      </c>
      <c r="S41" s="93">
        <v>-162732</v>
      </c>
      <c r="T41" s="51">
        <v>-95863</v>
      </c>
      <c r="U41" s="93">
        <v>-1185221</v>
      </c>
      <c r="W41" s="93">
        <v>11996029</v>
      </c>
      <c r="X41" s="93"/>
      <c r="Y41" s="93">
        <v>1809266</v>
      </c>
      <c r="AA41" s="40"/>
    </row>
    <row r="42" spans="1:27" ht="20.100000000000001" customHeight="1" x14ac:dyDescent="0.25">
      <c r="A42" s="46">
        <v>136</v>
      </c>
      <c r="B42" s="67" t="s">
        <v>139</v>
      </c>
      <c r="C42" s="85">
        <f>'MFPRSI Supplemental Info 2017'!D42</f>
        <v>1.8448530000000001E-2</v>
      </c>
      <c r="D42" s="85">
        <v>1.7889440073097857E-2</v>
      </c>
      <c r="E42" s="93">
        <f>'MFPRSI Supplemental Info 2017'!W42</f>
        <v>10819603</v>
      </c>
      <c r="F42" s="93">
        <f t="shared" si="0"/>
        <v>10491710</v>
      </c>
      <c r="G42" s="93">
        <f t="shared" si="1"/>
        <v>-327893</v>
      </c>
      <c r="H42" s="93">
        <f t="shared" si="2"/>
        <v>1335297</v>
      </c>
      <c r="I42" s="93">
        <f t="shared" si="3"/>
        <v>1335297</v>
      </c>
      <c r="J42" s="93">
        <f t="shared" si="4"/>
        <v>0</v>
      </c>
      <c r="K42" s="51">
        <f t="shared" si="5"/>
        <v>-60721</v>
      </c>
      <c r="L42" s="51">
        <f t="shared" si="6"/>
        <v>0</v>
      </c>
      <c r="M42" s="51">
        <f t="shared" si="7"/>
        <v>-267172</v>
      </c>
      <c r="O42" s="51">
        <v>285939</v>
      </c>
      <c r="P42" s="93">
        <v>909741</v>
      </c>
      <c r="Q42" s="51">
        <v>1573380</v>
      </c>
      <c r="S42" s="93">
        <v>-144492</v>
      </c>
      <c r="T42" s="51">
        <v>-85118</v>
      </c>
      <c r="U42" s="93">
        <v>-1052373</v>
      </c>
      <c r="W42" s="93">
        <v>10651435</v>
      </c>
      <c r="X42" s="93"/>
      <c r="Y42" s="93">
        <v>1606472</v>
      </c>
      <c r="AA42" s="40"/>
    </row>
    <row r="43" spans="1:27" ht="20.100000000000001" customHeight="1" x14ac:dyDescent="0.25">
      <c r="A43" s="46">
        <v>137</v>
      </c>
      <c r="B43" s="67" t="s">
        <v>140</v>
      </c>
      <c r="C43" s="85">
        <f>'MFPRSI Supplemental Info 2017'!D43</f>
        <v>1.059213E-2</v>
      </c>
      <c r="D43" s="85">
        <v>1.0651340038255436E-2</v>
      </c>
      <c r="E43" s="93">
        <f>'MFPRSI Supplemental Info 2017'!W43</f>
        <v>6212020</v>
      </c>
      <c r="F43" s="93">
        <f t="shared" si="0"/>
        <v>6246745</v>
      </c>
      <c r="G43" s="93">
        <f t="shared" si="1"/>
        <v>34725</v>
      </c>
      <c r="H43" s="93">
        <f t="shared" si="2"/>
        <v>795033</v>
      </c>
      <c r="I43" s="93">
        <f t="shared" si="3"/>
        <v>795033</v>
      </c>
      <c r="J43" s="93">
        <f t="shared" si="4"/>
        <v>0</v>
      </c>
      <c r="K43" s="51">
        <f t="shared" si="5"/>
        <v>6431</v>
      </c>
      <c r="L43" s="51">
        <f t="shared" si="6"/>
        <v>28294</v>
      </c>
      <c r="M43" s="51">
        <f t="shared" si="7"/>
        <v>0</v>
      </c>
      <c r="O43" s="51">
        <v>170248</v>
      </c>
      <c r="P43" s="93">
        <v>541658</v>
      </c>
      <c r="Q43" s="51">
        <v>936788</v>
      </c>
      <c r="S43" s="93">
        <v>-86030</v>
      </c>
      <c r="T43" s="51">
        <v>-50679</v>
      </c>
      <c r="U43" s="93">
        <v>-626581</v>
      </c>
      <c r="W43" s="93">
        <v>6341845</v>
      </c>
      <c r="X43" s="93"/>
      <c r="Y43" s="93">
        <v>956490</v>
      </c>
      <c r="AA43" s="40"/>
    </row>
    <row r="44" spans="1:27" ht="20.100000000000001" customHeight="1" x14ac:dyDescent="0.25">
      <c r="A44" s="46">
        <v>138</v>
      </c>
      <c r="B44" s="67" t="s">
        <v>141</v>
      </c>
      <c r="C44" s="85">
        <f>'MFPRSI Supplemental Info 2017'!D44</f>
        <v>2.2644399999999999E-3</v>
      </c>
      <c r="D44" s="85">
        <v>2.0292289621743516E-3</v>
      </c>
      <c r="E44" s="93">
        <f>'MFPRSI Supplemental Info 2017'!W44</f>
        <v>1328038</v>
      </c>
      <c r="F44" s="93">
        <f t="shared" si="0"/>
        <v>1190092</v>
      </c>
      <c r="G44" s="93">
        <f t="shared" si="1"/>
        <v>-137946</v>
      </c>
      <c r="H44" s="93">
        <f t="shared" si="2"/>
        <v>151465</v>
      </c>
      <c r="I44" s="93">
        <f t="shared" si="3"/>
        <v>151465</v>
      </c>
      <c r="J44" s="93">
        <f t="shared" si="4"/>
        <v>0</v>
      </c>
      <c r="K44" s="51">
        <f t="shared" si="5"/>
        <v>-25546</v>
      </c>
      <c r="L44" s="51">
        <f t="shared" si="6"/>
        <v>0</v>
      </c>
      <c r="M44" s="51">
        <f t="shared" si="7"/>
        <v>-112400</v>
      </c>
      <c r="O44" s="51">
        <v>32435</v>
      </c>
      <c r="P44" s="93">
        <v>103193</v>
      </c>
      <c r="Q44" s="51">
        <v>178471</v>
      </c>
      <c r="S44" s="93">
        <v>-16390</v>
      </c>
      <c r="T44" s="51">
        <v>-9655</v>
      </c>
      <c r="U44" s="93">
        <v>-119373</v>
      </c>
      <c r="W44" s="93">
        <v>1208210</v>
      </c>
      <c r="X44" s="93"/>
      <c r="Y44" s="93">
        <v>182225</v>
      </c>
      <c r="AA44" s="40"/>
    </row>
    <row r="45" spans="1:27" ht="20.100000000000001" customHeight="1" x14ac:dyDescent="0.25">
      <c r="A45" s="46">
        <v>139</v>
      </c>
      <c r="B45" s="63" t="s">
        <v>142</v>
      </c>
      <c r="C45" s="85">
        <f>'MFPRSI Supplemental Info 2017'!D45</f>
        <v>4.8384400000000003E-3</v>
      </c>
      <c r="D45" s="85">
        <v>4.3971895649982983E-3</v>
      </c>
      <c r="E45" s="93">
        <f>'MFPRSI Supplemental Info 2017'!W45</f>
        <v>2837624</v>
      </c>
      <c r="F45" s="93">
        <f t="shared" si="0"/>
        <v>2578842</v>
      </c>
      <c r="G45" s="93">
        <f t="shared" si="1"/>
        <v>-258782</v>
      </c>
      <c r="H45" s="93">
        <f t="shared" si="2"/>
        <v>328213</v>
      </c>
      <c r="I45" s="93">
        <f t="shared" si="3"/>
        <v>328213</v>
      </c>
      <c r="J45" s="93">
        <f t="shared" si="4"/>
        <v>0</v>
      </c>
      <c r="K45" s="51">
        <f t="shared" si="5"/>
        <v>-47923</v>
      </c>
      <c r="L45" s="51">
        <f t="shared" si="6"/>
        <v>0</v>
      </c>
      <c r="M45" s="51">
        <f t="shared" si="7"/>
        <v>-210859</v>
      </c>
      <c r="O45" s="51">
        <v>70283</v>
      </c>
      <c r="P45" s="93">
        <v>223613</v>
      </c>
      <c r="Q45" s="51">
        <v>386734</v>
      </c>
      <c r="S45" s="93">
        <v>-35516</v>
      </c>
      <c r="T45" s="51">
        <v>-20922</v>
      </c>
      <c r="U45" s="93">
        <v>-258671</v>
      </c>
      <c r="W45" s="93">
        <v>2618102</v>
      </c>
      <c r="X45" s="93"/>
      <c r="Y45" s="93">
        <v>394868</v>
      </c>
      <c r="AA45" s="40"/>
    </row>
    <row r="46" spans="1:27" ht="20.100000000000001" customHeight="1" x14ac:dyDescent="0.25">
      <c r="A46" s="46">
        <v>140</v>
      </c>
      <c r="B46" s="67" t="s">
        <v>143</v>
      </c>
      <c r="C46" s="85">
        <f>'MFPRSI Supplemental Info 2017'!D46</f>
        <v>1.443588E-2</v>
      </c>
      <c r="D46" s="85">
        <v>1.3632090132518824E-2</v>
      </c>
      <c r="E46" s="93">
        <f>'MFPRSI Supplemental Info 2017'!W46</f>
        <v>8466284</v>
      </c>
      <c r="F46" s="93">
        <f t="shared" si="0"/>
        <v>7994881</v>
      </c>
      <c r="G46" s="93">
        <f t="shared" si="1"/>
        <v>-471403</v>
      </c>
      <c r="H46" s="93">
        <f t="shared" si="2"/>
        <v>1017522</v>
      </c>
      <c r="I46" s="93">
        <f t="shared" si="3"/>
        <v>1017522</v>
      </c>
      <c r="J46" s="93">
        <f t="shared" si="4"/>
        <v>0</v>
      </c>
      <c r="K46" s="51">
        <f t="shared" si="5"/>
        <v>-87297</v>
      </c>
      <c r="L46" s="51">
        <f t="shared" si="6"/>
        <v>0</v>
      </c>
      <c r="M46" s="51">
        <f t="shared" si="7"/>
        <v>-384106</v>
      </c>
      <c r="O46" s="51">
        <v>217891</v>
      </c>
      <c r="P46" s="93">
        <v>693240</v>
      </c>
      <c r="Q46" s="51">
        <v>1198945</v>
      </c>
      <c r="S46" s="93">
        <v>-110106</v>
      </c>
      <c r="T46" s="51">
        <v>-64861</v>
      </c>
      <c r="U46" s="93">
        <v>-801928</v>
      </c>
      <c r="W46" s="93">
        <v>8116594</v>
      </c>
      <c r="X46" s="93"/>
      <c r="Y46" s="93">
        <v>1224162</v>
      </c>
      <c r="AA46" s="40"/>
    </row>
    <row r="47" spans="1:27" ht="20.100000000000001" customHeight="1" x14ac:dyDescent="0.25">
      <c r="A47" s="46">
        <v>141</v>
      </c>
      <c r="B47" s="68" t="s">
        <v>144</v>
      </c>
      <c r="C47" s="85">
        <f>'MFPRSI Supplemental Info 2017'!D47</f>
        <v>3.4715599999999998E-3</v>
      </c>
      <c r="D47" s="85">
        <v>3.5149592598875726E-3</v>
      </c>
      <c r="E47" s="93">
        <f>'MFPRSI Supplemental Info 2017'!W47</f>
        <v>2035983</v>
      </c>
      <c r="F47" s="93">
        <f t="shared" si="0"/>
        <v>2061436</v>
      </c>
      <c r="G47" s="93">
        <f t="shared" si="1"/>
        <v>25453</v>
      </c>
      <c r="H47" s="93">
        <f t="shared" si="2"/>
        <v>262362</v>
      </c>
      <c r="I47" s="93">
        <f t="shared" si="3"/>
        <v>262362</v>
      </c>
      <c r="J47" s="93">
        <f t="shared" si="4"/>
        <v>0</v>
      </c>
      <c r="K47" s="51">
        <f t="shared" si="5"/>
        <v>4714</v>
      </c>
      <c r="L47" s="51">
        <f t="shared" si="6"/>
        <v>20739</v>
      </c>
      <c r="M47" s="51">
        <f t="shared" si="7"/>
        <v>0</v>
      </c>
      <c r="O47" s="51">
        <v>56182</v>
      </c>
      <c r="P47" s="93">
        <v>178748</v>
      </c>
      <c r="Q47" s="51">
        <v>309141</v>
      </c>
      <c r="S47" s="93">
        <v>-28390</v>
      </c>
      <c r="T47" s="51">
        <v>-16724</v>
      </c>
      <c r="U47" s="93">
        <v>-206773</v>
      </c>
      <c r="W47" s="93">
        <v>2092819</v>
      </c>
      <c r="X47" s="93"/>
      <c r="Y47" s="93">
        <v>315643</v>
      </c>
      <c r="AA47" s="40"/>
    </row>
    <row r="48" spans="1:27" ht="20.100000000000001" customHeight="1" x14ac:dyDescent="0.25">
      <c r="A48" s="46">
        <v>142</v>
      </c>
      <c r="B48" s="63" t="s">
        <v>145</v>
      </c>
      <c r="C48" s="85">
        <f>'MFPRSI Supplemental Info 2017'!D48</f>
        <v>6.4987420000000004E-2</v>
      </c>
      <c r="D48" s="85">
        <v>6.2787380014118058E-2</v>
      </c>
      <c r="E48" s="93">
        <f>'MFPRSI Supplemental Info 2017'!W48</f>
        <v>38113501</v>
      </c>
      <c r="F48" s="93">
        <f t="shared" si="0"/>
        <v>36823232</v>
      </c>
      <c r="G48" s="93">
        <f t="shared" si="1"/>
        <v>-1290269</v>
      </c>
      <c r="H48" s="93">
        <f t="shared" si="2"/>
        <v>4686553</v>
      </c>
      <c r="I48" s="93">
        <f t="shared" si="3"/>
        <v>4686553</v>
      </c>
      <c r="J48" s="93">
        <f t="shared" si="4"/>
        <v>0</v>
      </c>
      <c r="K48" s="51">
        <f t="shared" si="5"/>
        <v>-238939</v>
      </c>
      <c r="L48" s="51">
        <f t="shared" si="6"/>
        <v>0</v>
      </c>
      <c r="M48" s="51">
        <f t="shared" si="7"/>
        <v>-1051330</v>
      </c>
      <c r="O48" s="51">
        <v>1003574</v>
      </c>
      <c r="P48" s="93">
        <v>3192959</v>
      </c>
      <c r="Q48" s="51">
        <v>5522164</v>
      </c>
      <c r="S48" s="93">
        <v>-507130</v>
      </c>
      <c r="T48" s="51">
        <v>-298742</v>
      </c>
      <c r="U48" s="93">
        <v>-3693562</v>
      </c>
      <c r="W48" s="93">
        <v>37383825</v>
      </c>
      <c r="X48" s="93"/>
      <c r="Y48" s="93">
        <v>5638307</v>
      </c>
      <c r="AA48" s="40"/>
    </row>
    <row r="49" spans="1:27" ht="20.100000000000001" customHeight="1" x14ac:dyDescent="0.25">
      <c r="A49" s="46">
        <v>143</v>
      </c>
      <c r="B49" s="63" t="s">
        <v>146</v>
      </c>
      <c r="C49" s="85">
        <f>'MFPRSI Supplemental Info 2017'!D49</f>
        <v>5.0976600000000004E-3</v>
      </c>
      <c r="D49" s="85">
        <v>4.9091902614268696E-3</v>
      </c>
      <c r="E49" s="93">
        <f>'MFPRSI Supplemental Info 2017'!W49</f>
        <v>2989650</v>
      </c>
      <c r="F49" s="93">
        <f t="shared" si="0"/>
        <v>2879118</v>
      </c>
      <c r="G49" s="93">
        <f t="shared" si="1"/>
        <v>-110532</v>
      </c>
      <c r="H49" s="93">
        <f t="shared" si="2"/>
        <v>366430</v>
      </c>
      <c r="I49" s="93">
        <f t="shared" si="3"/>
        <v>366430</v>
      </c>
      <c r="J49" s="93">
        <f t="shared" si="4"/>
        <v>0</v>
      </c>
      <c r="K49" s="51">
        <f t="shared" si="5"/>
        <v>-20469</v>
      </c>
      <c r="L49" s="51">
        <f t="shared" si="6"/>
        <v>0</v>
      </c>
      <c r="M49" s="51">
        <f t="shared" si="7"/>
        <v>-90063</v>
      </c>
      <c r="O49" s="51">
        <v>78467</v>
      </c>
      <c r="P49" s="93">
        <v>249650</v>
      </c>
      <c r="Q49" s="51">
        <v>431764</v>
      </c>
      <c r="S49" s="93">
        <v>-39651</v>
      </c>
      <c r="T49" s="51">
        <v>-23358</v>
      </c>
      <c r="U49" s="93">
        <v>-288790</v>
      </c>
      <c r="W49" s="93">
        <v>2922949</v>
      </c>
      <c r="X49" s="93"/>
      <c r="Y49" s="93">
        <v>440845</v>
      </c>
      <c r="AA49" s="40"/>
    </row>
    <row r="50" spans="1:27" ht="20.100000000000001" customHeight="1" x14ac:dyDescent="0.25">
      <c r="A50" s="46">
        <v>144</v>
      </c>
      <c r="B50" s="63" t="s">
        <v>147</v>
      </c>
      <c r="C50" s="85">
        <f>'MFPRSI Supplemental Info 2017'!D50</f>
        <v>3.6767000000000002E-3</v>
      </c>
      <c r="D50" s="85">
        <v>3.6187191493556032E-3</v>
      </c>
      <c r="E50" s="93">
        <f>'MFPRSI Supplemental Info 2017'!W50</f>
        <v>2156293</v>
      </c>
      <c r="F50" s="93">
        <f t="shared" si="0"/>
        <v>2122289</v>
      </c>
      <c r="G50" s="93">
        <f t="shared" si="1"/>
        <v>-34004</v>
      </c>
      <c r="H50" s="93">
        <f t="shared" si="2"/>
        <v>270107</v>
      </c>
      <c r="I50" s="93">
        <f t="shared" si="3"/>
        <v>270107</v>
      </c>
      <c r="J50" s="93">
        <f t="shared" si="4"/>
        <v>0</v>
      </c>
      <c r="K50" s="51">
        <f t="shared" si="5"/>
        <v>-6297</v>
      </c>
      <c r="L50" s="51">
        <f t="shared" si="6"/>
        <v>0</v>
      </c>
      <c r="M50" s="51">
        <f t="shared" si="7"/>
        <v>-27707</v>
      </c>
      <c r="O50" s="51">
        <v>57840</v>
      </c>
      <c r="P50" s="93">
        <v>184025</v>
      </c>
      <c r="Q50" s="51">
        <v>318267</v>
      </c>
      <c r="S50" s="93">
        <v>-29228</v>
      </c>
      <c r="T50" s="51">
        <v>-17218</v>
      </c>
      <c r="U50" s="93">
        <v>-212877</v>
      </c>
      <c r="W50" s="93">
        <v>2154598</v>
      </c>
      <c r="X50" s="93"/>
      <c r="Y50" s="93">
        <v>324961</v>
      </c>
      <c r="AA50" s="40"/>
    </row>
    <row r="51" spans="1:27" ht="20.100000000000001" customHeight="1" x14ac:dyDescent="0.25">
      <c r="A51" s="46">
        <v>145</v>
      </c>
      <c r="B51" s="63" t="s">
        <v>148</v>
      </c>
      <c r="C51" s="85">
        <f>'MFPRSI Supplemental Info 2017'!D51</f>
        <v>2.0280490000000002E-2</v>
      </c>
      <c r="D51" s="85">
        <v>2.0981269463072525E-2</v>
      </c>
      <c r="E51" s="93">
        <f>'MFPRSI Supplemental Info 2017'!W51</f>
        <v>11894002</v>
      </c>
      <c r="F51" s="93">
        <f t="shared" si="0"/>
        <v>12304991</v>
      </c>
      <c r="G51" s="93">
        <f t="shared" si="1"/>
        <v>410989</v>
      </c>
      <c r="H51" s="93">
        <f t="shared" si="2"/>
        <v>1566076</v>
      </c>
      <c r="I51" s="93">
        <f t="shared" si="3"/>
        <v>1566076</v>
      </c>
      <c r="J51" s="93">
        <f t="shared" si="4"/>
        <v>0</v>
      </c>
      <c r="K51" s="51">
        <f t="shared" si="5"/>
        <v>76109</v>
      </c>
      <c r="L51" s="51">
        <f t="shared" si="6"/>
        <v>334880</v>
      </c>
      <c r="M51" s="51">
        <f t="shared" si="7"/>
        <v>0</v>
      </c>
      <c r="O51" s="51">
        <v>335358</v>
      </c>
      <c r="P51" s="93">
        <v>1066971</v>
      </c>
      <c r="Q51" s="51">
        <v>1845307</v>
      </c>
      <c r="S51" s="93">
        <v>-169465</v>
      </c>
      <c r="T51" s="51">
        <v>-99829</v>
      </c>
      <c r="U51" s="93">
        <v>-1234255</v>
      </c>
      <c r="W51" s="93">
        <v>12492321</v>
      </c>
      <c r="X51" s="93"/>
      <c r="Y51" s="93">
        <v>1884118</v>
      </c>
      <c r="AA51" s="40"/>
    </row>
    <row r="52" spans="1:27" ht="20.100000000000001" customHeight="1" x14ac:dyDescent="0.25">
      <c r="A52" s="46">
        <v>146</v>
      </c>
      <c r="B52" s="63" t="s">
        <v>149</v>
      </c>
      <c r="C52" s="85">
        <f>'MFPRSI Supplemental Info 2017'!D52</f>
        <v>5.7032859999999998E-2</v>
      </c>
      <c r="D52" s="85">
        <v>5.6002129191426789E-2</v>
      </c>
      <c r="E52" s="93">
        <f>'MFPRSI Supplemental Info 2017'!W52</f>
        <v>33448350</v>
      </c>
      <c r="F52" s="93">
        <f t="shared" si="0"/>
        <v>32843852</v>
      </c>
      <c r="G52" s="93">
        <f t="shared" si="1"/>
        <v>-604498</v>
      </c>
      <c r="H52" s="93">
        <f t="shared" si="2"/>
        <v>4180091</v>
      </c>
      <c r="I52" s="93">
        <f t="shared" si="3"/>
        <v>4180091</v>
      </c>
      <c r="J52" s="93">
        <f t="shared" si="4"/>
        <v>0</v>
      </c>
      <c r="K52" s="51">
        <f t="shared" si="5"/>
        <v>-111944</v>
      </c>
      <c r="L52" s="51">
        <f t="shared" si="6"/>
        <v>0</v>
      </c>
      <c r="M52" s="51">
        <f t="shared" si="7"/>
        <v>-492554</v>
      </c>
      <c r="O52" s="51">
        <v>895120</v>
      </c>
      <c r="P52" s="93">
        <v>2847906</v>
      </c>
      <c r="Q52" s="51">
        <v>4925399</v>
      </c>
      <c r="S52" s="93">
        <v>-452326</v>
      </c>
      <c r="T52" s="51">
        <v>-266458</v>
      </c>
      <c r="U52" s="93">
        <v>-3294410</v>
      </c>
      <c r="W52" s="93">
        <v>33343863</v>
      </c>
      <c r="X52" s="93"/>
      <c r="Y52" s="93">
        <v>5028992</v>
      </c>
      <c r="AA52" s="40"/>
    </row>
    <row r="53" spans="1:27" ht="20.100000000000001" customHeight="1" x14ac:dyDescent="0.25">
      <c r="A53" s="46">
        <v>147</v>
      </c>
      <c r="B53" s="63" t="s">
        <v>150</v>
      </c>
      <c r="C53" s="85">
        <f>'MFPRSI Supplemental Info 2017'!D53</f>
        <v>3.6385499999999999E-3</v>
      </c>
      <c r="D53" s="85">
        <v>3.6712297588542674E-3</v>
      </c>
      <c r="E53" s="93">
        <f>'MFPRSI Supplemental Info 2017'!W53</f>
        <v>2133919</v>
      </c>
      <c r="F53" s="93">
        <f t="shared" si="0"/>
        <v>2153085</v>
      </c>
      <c r="G53" s="93">
        <f t="shared" si="1"/>
        <v>19166</v>
      </c>
      <c r="H53" s="93">
        <f t="shared" si="2"/>
        <v>274027</v>
      </c>
      <c r="I53" s="93">
        <f t="shared" si="3"/>
        <v>274027</v>
      </c>
      <c r="J53" s="93">
        <f t="shared" si="4"/>
        <v>0</v>
      </c>
      <c r="K53" s="51">
        <f t="shared" si="5"/>
        <v>3549</v>
      </c>
      <c r="L53" s="51">
        <f t="shared" si="6"/>
        <v>15617</v>
      </c>
      <c r="M53" s="51">
        <f t="shared" si="7"/>
        <v>0</v>
      </c>
      <c r="O53" s="51">
        <v>58680</v>
      </c>
      <c r="P53" s="93">
        <v>186695</v>
      </c>
      <c r="Q53" s="51">
        <v>322885</v>
      </c>
      <c r="S53" s="93">
        <v>-29652</v>
      </c>
      <c r="T53" s="51">
        <v>-17468</v>
      </c>
      <c r="U53" s="93">
        <v>-215966</v>
      </c>
      <c r="W53" s="93">
        <v>2185863</v>
      </c>
      <c r="X53" s="93"/>
      <c r="Y53" s="93">
        <v>329676</v>
      </c>
      <c r="AA53" s="40"/>
    </row>
    <row r="54" spans="1:27" ht="20.100000000000001" customHeight="1" x14ac:dyDescent="0.25">
      <c r="A54" s="46">
        <v>148</v>
      </c>
      <c r="B54" s="63" t="s">
        <v>151</v>
      </c>
      <c r="C54" s="85">
        <f>'MFPRSI Supplemental Info 2017'!D54</f>
        <v>3.0700100000000002E-3</v>
      </c>
      <c r="D54" s="85">
        <v>2.9253506874406328E-3</v>
      </c>
      <c r="E54" s="93">
        <f>'MFPRSI Supplemental Info 2017'!W54</f>
        <v>1800484</v>
      </c>
      <c r="F54" s="93">
        <f t="shared" si="0"/>
        <v>1715645</v>
      </c>
      <c r="G54" s="93">
        <f t="shared" si="1"/>
        <v>-84839</v>
      </c>
      <c r="H54" s="93">
        <f t="shared" si="2"/>
        <v>218353</v>
      </c>
      <c r="I54" s="93">
        <f t="shared" si="3"/>
        <v>218353</v>
      </c>
      <c r="J54" s="93">
        <f t="shared" si="4"/>
        <v>0</v>
      </c>
      <c r="K54" s="51">
        <f t="shared" si="5"/>
        <v>-15711</v>
      </c>
      <c r="L54" s="51">
        <f t="shared" si="6"/>
        <v>0</v>
      </c>
      <c r="M54" s="51">
        <f t="shared" si="7"/>
        <v>-69128</v>
      </c>
      <c r="O54" s="51">
        <v>46758</v>
      </c>
      <c r="P54" s="93">
        <v>148764</v>
      </c>
      <c r="Q54" s="51">
        <v>257285</v>
      </c>
      <c r="S54" s="93">
        <v>-23628</v>
      </c>
      <c r="T54" s="51">
        <v>-13919</v>
      </c>
      <c r="U54" s="93">
        <v>-172088</v>
      </c>
      <c r="W54" s="93">
        <v>1741764</v>
      </c>
      <c r="X54" s="93"/>
      <c r="Y54" s="93">
        <v>262696</v>
      </c>
      <c r="AA54" s="40"/>
    </row>
    <row r="55" spans="1:27" ht="19.5" customHeight="1" x14ac:dyDescent="0.25">
      <c r="A55" s="46">
        <v>149</v>
      </c>
      <c r="B55" s="63" t="s">
        <v>152</v>
      </c>
      <c r="C55" s="85">
        <f>'MFPRSI Supplemental Info 2017'!D55</f>
        <v>3.1571500000000002E-2</v>
      </c>
      <c r="D55" s="85">
        <v>3.2890139926237953E-2</v>
      </c>
      <c r="E55" s="93">
        <f>'MFPRSI Supplemental Info 2017'!W55</f>
        <v>18515897</v>
      </c>
      <c r="F55" s="93">
        <f>ROUND($E$57*D55,0)</f>
        <v>19289247</v>
      </c>
      <c r="G55" s="93">
        <f t="shared" si="1"/>
        <v>773350</v>
      </c>
      <c r="H55" s="93">
        <f t="shared" si="2"/>
        <v>2454974</v>
      </c>
      <c r="I55" s="93">
        <f t="shared" si="3"/>
        <v>2454974</v>
      </c>
      <c r="J55" s="93">
        <f t="shared" si="4"/>
        <v>0</v>
      </c>
      <c r="K55" s="51">
        <f t="shared" si="5"/>
        <v>143213</v>
      </c>
      <c r="L55" s="51">
        <f t="shared" si="6"/>
        <v>630137</v>
      </c>
      <c r="M55" s="51">
        <f t="shared" si="7"/>
        <v>0</v>
      </c>
      <c r="O55" s="51">
        <v>525706</v>
      </c>
      <c r="P55" s="93">
        <v>1672579</v>
      </c>
      <c r="Q55" s="51">
        <v>2892695</v>
      </c>
      <c r="S55" s="93">
        <v>-265652</v>
      </c>
      <c r="T55" s="51">
        <v>-156491</v>
      </c>
      <c r="U55" s="93">
        <v>-1934812</v>
      </c>
      <c r="W55" s="93">
        <v>19582904</v>
      </c>
      <c r="X55" s="93"/>
      <c r="Y55" s="93">
        <v>2953535</v>
      </c>
      <c r="AA55" s="40"/>
    </row>
    <row r="56" spans="1:27" x14ac:dyDescent="0.25">
      <c r="E56" s="94"/>
      <c r="U56" s="93"/>
      <c r="W56" s="51"/>
      <c r="X56" s="51"/>
      <c r="Y56" s="93"/>
    </row>
    <row r="57" spans="1:27" x14ac:dyDescent="0.25">
      <c r="C57" s="89">
        <f t="shared" ref="C57:I57" si="8">SUM(C7:C56)</f>
        <v>0.99999999999999989</v>
      </c>
      <c r="D57" s="89">
        <f t="shared" si="8"/>
        <v>1.0000000000000002</v>
      </c>
      <c r="E57" s="93">
        <f>SUM(E7:E56)+E61</f>
        <v>586475060</v>
      </c>
      <c r="F57" s="93">
        <f>SUM(F7:F56)+F61</f>
        <v>586475060</v>
      </c>
      <c r="G57" s="93">
        <f>SUM(G7:G56)+G61</f>
        <v>0</v>
      </c>
      <c r="H57" s="93">
        <f>SUM(H7:H56)+H61</f>
        <v>74641637</v>
      </c>
      <c r="I57" s="94">
        <f t="shared" si="8"/>
        <v>74641638</v>
      </c>
      <c r="J57" s="90">
        <f>SUM(J7:J56)</f>
        <v>0</v>
      </c>
      <c r="K57" s="90"/>
      <c r="L57" s="93">
        <f t="shared" ref="L57" si="9">SUM(L7:L56)</f>
        <v>6285680</v>
      </c>
      <c r="M57" s="93">
        <f>SUM(M7:M56)</f>
        <v>-6285678</v>
      </c>
      <c r="O57" s="93">
        <f>SUM(O7:O56)</f>
        <v>15983684</v>
      </c>
      <c r="P57" s="93">
        <f>SUM(P7:P56)</f>
        <v>50853523</v>
      </c>
      <c r="Q57" s="93">
        <f>SUM(Q7:Q56)</f>
        <v>87950215</v>
      </c>
      <c r="S57" s="93">
        <f>SUM(S7:S56)+S61</f>
        <v>-8076943</v>
      </c>
      <c r="T57" s="93">
        <f>SUM(T7:T56)+T61</f>
        <v>-4757991</v>
      </c>
      <c r="U57" s="93">
        <f>SUM(U7:U56)+U61</f>
        <v>-58826503</v>
      </c>
      <c r="V57" s="93"/>
      <c r="W57" s="93">
        <f>SUM(W7:W56)+W61</f>
        <v>595403487</v>
      </c>
      <c r="X57" s="93"/>
      <c r="Y57" s="93">
        <f>SUM(Y7:Y56)+Y61</f>
        <v>89800010</v>
      </c>
    </row>
    <row r="58" spans="1:27" x14ac:dyDescent="0.25">
      <c r="C58" s="89"/>
      <c r="D58" s="89"/>
      <c r="E58" s="93"/>
      <c r="F58" s="93"/>
      <c r="H58" s="94"/>
      <c r="K58" s="90"/>
      <c r="L58" s="93"/>
      <c r="M58" s="93"/>
      <c r="O58" s="93"/>
      <c r="P58" s="93"/>
      <c r="Q58" s="93"/>
      <c r="S58" s="93"/>
      <c r="T58" s="93"/>
      <c r="U58" s="93"/>
      <c r="V58" s="93"/>
      <c r="W58" s="93"/>
      <c r="X58" s="93"/>
      <c r="Y58" s="93"/>
    </row>
    <row r="59" spans="1:27" x14ac:dyDescent="0.25">
      <c r="E59" s="93"/>
      <c r="F59" s="93"/>
      <c r="K59" s="90"/>
      <c r="L59" s="93"/>
      <c r="M59" s="93"/>
      <c r="O59" t="s">
        <v>60</v>
      </c>
      <c r="P59" s="50"/>
      <c r="Q59" s="89"/>
      <c r="R59" s="89"/>
      <c r="S59" s="94"/>
      <c r="T59" s="94"/>
      <c r="U59" s="90">
        <v>5.4</v>
      </c>
      <c r="V59" s="28" t="s">
        <v>61</v>
      </c>
      <c r="W59" s="93"/>
      <c r="X59" s="93"/>
      <c r="Y59" s="93"/>
    </row>
    <row r="60" spans="1:27" x14ac:dyDescent="0.25">
      <c r="E60" s="50"/>
      <c r="F60" s="50"/>
      <c r="O60" t="s">
        <v>196</v>
      </c>
      <c r="U60" s="99">
        <v>74641639</v>
      </c>
    </row>
    <row r="61" spans="1:27" x14ac:dyDescent="0.25">
      <c r="B61" s="50" t="s">
        <v>153</v>
      </c>
      <c r="E61" s="50">
        <v>0</v>
      </c>
      <c r="F61" s="50">
        <v>1</v>
      </c>
      <c r="G61" s="90">
        <v>1</v>
      </c>
      <c r="H61" s="90">
        <v>-1</v>
      </c>
      <c r="K61" s="50">
        <v>3</v>
      </c>
      <c r="S61" s="50">
        <v>3</v>
      </c>
      <c r="T61" s="50">
        <v>-2</v>
      </c>
      <c r="U61" s="93">
        <v>1</v>
      </c>
      <c r="W61" s="50">
        <v>0</v>
      </c>
      <c r="Y61" s="50">
        <v>0</v>
      </c>
    </row>
  </sheetData>
  <mergeCells count="3">
    <mergeCell ref="K3:M3"/>
    <mergeCell ref="O3:Q3"/>
    <mergeCell ref="S3:U3"/>
  </mergeCells>
  <pageMargins left="0.5" right="0.25" top="0.75" bottom="0.75" header="0.3" footer="0.3"/>
  <pageSetup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10</vt:i4>
      </vt:variant>
    </vt:vector>
  </HeadingPairs>
  <TitlesOfParts>
    <vt:vector size="23" baseType="lpstr">
      <vt:lpstr>calculator</vt:lpstr>
      <vt:lpstr>Amort</vt:lpstr>
      <vt:lpstr>MFPRSI Supplemental info 2024</vt:lpstr>
      <vt:lpstr>MFPRSI Supplemental info 2023</vt:lpstr>
      <vt:lpstr>MFPRSI Supplemental info 2022</vt:lpstr>
      <vt:lpstr>MFPRSI Supplemental info 2021</vt:lpstr>
      <vt:lpstr>MFPRSI Supplemental info 2020</vt:lpstr>
      <vt:lpstr>MFPRSI Supplemental info 2019</vt:lpstr>
      <vt:lpstr>MFPRSI Supplemental Info 2018</vt:lpstr>
      <vt:lpstr>MFPRSI Supplemental Info 2017</vt:lpstr>
      <vt:lpstr>MFPRSI Supplemental Info 2016</vt:lpstr>
      <vt:lpstr>MFPRSI Supplemental Info 2015</vt:lpstr>
      <vt:lpstr>MFPRSI Supplemental Info 2014</vt:lpstr>
      <vt:lpstr>'MFPRSI Supplemental Info 2014'!Print_Area</vt:lpstr>
      <vt:lpstr>'MFPRSI Supplemental Info 2015'!Print_Area</vt:lpstr>
      <vt:lpstr>'MFPRSI Supplemental Info 2016'!Print_Area</vt:lpstr>
      <vt:lpstr>'MFPRSI Supplemental Info 2017'!Print_Area</vt:lpstr>
      <vt:lpstr>'MFPRSI Supplemental Info 2018'!Print_Area</vt:lpstr>
      <vt:lpstr>'MFPRSI Supplemental Info 2014'!Print_Titles</vt:lpstr>
      <vt:lpstr>'MFPRSI Supplemental Info 2015'!Print_Titles</vt:lpstr>
      <vt:lpstr>'MFPRSI Supplemental Info 2016'!Print_Titles</vt:lpstr>
      <vt:lpstr>'MFPRSI Supplemental Info 2017'!Print_Titles</vt:lpstr>
      <vt:lpstr>'MFPRSI Supplemental Info 2018'!Print_Titles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James Bybee</cp:lastModifiedBy>
  <cp:lastPrinted>2019-07-03T14:10:16Z</cp:lastPrinted>
  <dcterms:created xsi:type="dcterms:W3CDTF">2015-05-05T20:15:03Z</dcterms:created>
  <dcterms:modified xsi:type="dcterms:W3CDTF">2025-02-14T17:36:49Z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